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hp\Desktop\New folder (2)\"/>
    </mc:Choice>
  </mc:AlternateContent>
  <xr:revisionPtr revIDLastSave="0" documentId="13_ncr:1_{49946F1A-BEAE-4B00-83BB-649464E23239}" xr6:coauthVersionLast="47" xr6:coauthVersionMax="47" xr10:uidLastSave="{00000000-0000-0000-0000-000000000000}"/>
  <bookViews>
    <workbookView xWindow="-108" yWindow="-108" windowWidth="23256" windowHeight="12576" activeTab="1" xr2:uid="{00000000-000D-0000-FFFF-FFFF00000000}"/>
  </bookViews>
  <sheets>
    <sheet name="Bid Recap &amp; Summary" sheetId="2" r:id="rId1"/>
    <sheet name="Worksheet" sheetId="1" r:id="rId2"/>
    <sheet name="ROUGH SHEET CALCULATION" sheetId="3" state="hidden" r:id="rId3"/>
    <sheet name="Rules" sheetId="4" state="hidden" r:id="rId4"/>
  </sheets>
  <definedNames>
    <definedName name="_xlnm._FilterDatabase" localSheetId="0" hidden="1">'Bid Recap &amp; Summary'!$A$2:$Q$2</definedName>
    <definedName name="_xlnm._FilterDatabase" localSheetId="1" hidden="1">Worksheet!$E$52:$Q$143</definedName>
    <definedName name="_xlnm.Print_Area" localSheetId="0">'Bid Recap &amp; Summary'!$A$1:$N$46</definedName>
    <definedName name="_xlnm.Print_Area" localSheetId="1">Worksheet!$A$1:$Q$467</definedName>
    <definedName name="_xlnm.Print_Titles" localSheetId="1">Worksheet!$1:$6</definedName>
  </definedNames>
  <calcPr calcId="181029"/>
</workbook>
</file>

<file path=xl/calcChain.xml><?xml version="1.0" encoding="utf-8"?>
<calcChain xmlns="http://schemas.openxmlformats.org/spreadsheetml/2006/main">
  <c r="B9" i="3" l="1"/>
  <c r="B8" i="3"/>
  <c r="B7" i="3"/>
  <c r="B6" i="3"/>
  <c r="B5" i="3"/>
  <c r="B4" i="3"/>
  <c r="B3" i="3"/>
  <c r="Q461" i="1"/>
  <c r="Q460" i="1"/>
  <c r="P459" i="1"/>
  <c r="O459" i="1"/>
  <c r="N459" i="1"/>
  <c r="M459" i="1"/>
  <c r="L459" i="1"/>
  <c r="K459" i="1"/>
  <c r="J459" i="1"/>
  <c r="I459" i="1"/>
  <c r="H459" i="1"/>
  <c r="A459" i="1"/>
  <c r="Q458" i="1"/>
  <c r="M458" i="1"/>
  <c r="J458" i="1"/>
  <c r="A458" i="1"/>
  <c r="P457" i="1"/>
  <c r="O457" i="1"/>
  <c r="N457" i="1"/>
  <c r="M457" i="1"/>
  <c r="L457" i="1"/>
  <c r="K457" i="1"/>
  <c r="J457" i="1"/>
  <c r="I457" i="1"/>
  <c r="H457" i="1"/>
  <c r="A457" i="1"/>
  <c r="Q456" i="1"/>
  <c r="M456" i="1"/>
  <c r="J456" i="1"/>
  <c r="A456" i="1"/>
  <c r="A455" i="1"/>
  <c r="P454" i="1"/>
  <c r="O454" i="1"/>
  <c r="N454" i="1"/>
  <c r="K454" i="1"/>
  <c r="I454" i="1"/>
  <c r="A454" i="1"/>
  <c r="A453" i="1"/>
  <c r="A452" i="1"/>
  <c r="P451" i="1"/>
  <c r="O451" i="1"/>
  <c r="N451" i="1"/>
  <c r="K451" i="1"/>
  <c r="I451" i="1"/>
  <c r="A451" i="1"/>
  <c r="A450" i="1"/>
  <c r="A449" i="1"/>
  <c r="A448" i="1"/>
  <c r="Q447" i="1"/>
  <c r="M447" i="1"/>
  <c r="J447" i="1"/>
  <c r="A447" i="1"/>
  <c r="A446" i="1"/>
  <c r="P445" i="1"/>
  <c r="O445" i="1"/>
  <c r="N445" i="1"/>
  <c r="K445" i="1"/>
  <c r="I445" i="1"/>
  <c r="A445" i="1"/>
  <c r="P444" i="1"/>
  <c r="O444" i="1"/>
  <c r="N444" i="1"/>
  <c r="K444" i="1"/>
  <c r="I444" i="1"/>
  <c r="A444" i="1"/>
  <c r="A443" i="1"/>
  <c r="A442" i="1"/>
  <c r="P441" i="1"/>
  <c r="O441" i="1"/>
  <c r="N441" i="1"/>
  <c r="K441" i="1"/>
  <c r="I441" i="1"/>
  <c r="A441" i="1"/>
  <c r="P440" i="1"/>
  <c r="O440" i="1"/>
  <c r="N440" i="1"/>
  <c r="K440" i="1"/>
  <c r="I440" i="1"/>
  <c r="A440" i="1"/>
  <c r="P439" i="1"/>
  <c r="O439" i="1"/>
  <c r="N439" i="1"/>
  <c r="K439" i="1"/>
  <c r="I439" i="1"/>
  <c r="A439" i="1"/>
  <c r="A438" i="1"/>
  <c r="A437" i="1"/>
  <c r="P436" i="1"/>
  <c r="O436" i="1"/>
  <c r="N436" i="1"/>
  <c r="K436" i="1"/>
  <c r="I436" i="1"/>
  <c r="A436" i="1"/>
  <c r="P435" i="1"/>
  <c r="O435" i="1"/>
  <c r="N435" i="1"/>
  <c r="K435" i="1"/>
  <c r="I435" i="1"/>
  <c r="A435" i="1"/>
  <c r="P434" i="1"/>
  <c r="O434" i="1"/>
  <c r="N434" i="1"/>
  <c r="K434" i="1"/>
  <c r="I434" i="1"/>
  <c r="A434" i="1"/>
  <c r="P433" i="1"/>
  <c r="O433" i="1"/>
  <c r="N433" i="1"/>
  <c r="K433" i="1"/>
  <c r="I433" i="1"/>
  <c r="A433" i="1"/>
  <c r="P432" i="1"/>
  <c r="O432" i="1"/>
  <c r="N432" i="1"/>
  <c r="K432" i="1"/>
  <c r="I432" i="1"/>
  <c r="A432" i="1"/>
  <c r="P431" i="1"/>
  <c r="O431" i="1"/>
  <c r="N431" i="1"/>
  <c r="K431" i="1"/>
  <c r="I431" i="1"/>
  <c r="A431" i="1"/>
  <c r="P430" i="1"/>
  <c r="O430" i="1"/>
  <c r="N430" i="1"/>
  <c r="K430" i="1"/>
  <c r="I430" i="1"/>
  <c r="A430" i="1"/>
  <c r="P429" i="1"/>
  <c r="O429" i="1"/>
  <c r="N429" i="1"/>
  <c r="K429" i="1"/>
  <c r="I429" i="1"/>
  <c r="A429" i="1"/>
  <c r="P428" i="1"/>
  <c r="O428" i="1"/>
  <c r="N428" i="1"/>
  <c r="K428" i="1"/>
  <c r="I428" i="1"/>
  <c r="A428" i="1"/>
  <c r="P427" i="1"/>
  <c r="O427" i="1"/>
  <c r="N427" i="1"/>
  <c r="K427" i="1"/>
  <c r="I427" i="1"/>
  <c r="A427" i="1"/>
  <c r="P426" i="1"/>
  <c r="O426" i="1"/>
  <c r="N426" i="1"/>
  <c r="K426" i="1"/>
  <c r="I426" i="1"/>
  <c r="A426" i="1"/>
  <c r="P425" i="1"/>
  <c r="O425" i="1"/>
  <c r="N425" i="1"/>
  <c r="K425" i="1"/>
  <c r="I425" i="1"/>
  <c r="A425" i="1"/>
  <c r="P424" i="1"/>
  <c r="O424" i="1"/>
  <c r="N424" i="1"/>
  <c r="K424" i="1"/>
  <c r="I424" i="1"/>
  <c r="A424" i="1"/>
  <c r="A423" i="1"/>
  <c r="A422" i="1"/>
  <c r="P421" i="1"/>
  <c r="O421" i="1"/>
  <c r="N421" i="1"/>
  <c r="K421" i="1"/>
  <c r="I421" i="1"/>
  <c r="A421" i="1"/>
  <c r="P420" i="1"/>
  <c r="O420" i="1"/>
  <c r="N420" i="1"/>
  <c r="K420" i="1"/>
  <c r="I420" i="1"/>
  <c r="A420" i="1"/>
  <c r="P419" i="1"/>
  <c r="O419" i="1"/>
  <c r="N419" i="1"/>
  <c r="K419" i="1"/>
  <c r="I419" i="1"/>
  <c r="A419" i="1"/>
  <c r="A418" i="1"/>
  <c r="A417" i="1"/>
  <c r="P416" i="1"/>
  <c r="O416" i="1"/>
  <c r="N416" i="1"/>
  <c r="K416" i="1"/>
  <c r="I416" i="1"/>
  <c r="A416" i="1"/>
  <c r="P415" i="1"/>
  <c r="O415" i="1"/>
  <c r="N415" i="1"/>
  <c r="K415" i="1"/>
  <c r="I415" i="1"/>
  <c r="A415" i="1"/>
  <c r="P414" i="1"/>
  <c r="O414" i="1"/>
  <c r="N414" i="1"/>
  <c r="K414" i="1"/>
  <c r="I414" i="1"/>
  <c r="A414" i="1"/>
  <c r="P413" i="1"/>
  <c r="O413" i="1"/>
  <c r="N413" i="1"/>
  <c r="K413" i="1"/>
  <c r="I413" i="1"/>
  <c r="A413" i="1"/>
  <c r="P412" i="1"/>
  <c r="O412" i="1"/>
  <c r="N412" i="1"/>
  <c r="K412" i="1"/>
  <c r="I412" i="1"/>
  <c r="A412" i="1"/>
  <c r="P411" i="1"/>
  <c r="O411" i="1"/>
  <c r="N411" i="1"/>
  <c r="K411" i="1"/>
  <c r="I411" i="1"/>
  <c r="A411" i="1"/>
  <c r="P410" i="1"/>
  <c r="O410" i="1"/>
  <c r="N410" i="1"/>
  <c r="K410" i="1"/>
  <c r="I410" i="1"/>
  <c r="A410" i="1"/>
  <c r="P409" i="1"/>
  <c r="O409" i="1"/>
  <c r="N409" i="1"/>
  <c r="K409" i="1"/>
  <c r="I409" i="1"/>
  <c r="A409" i="1"/>
  <c r="P408" i="1"/>
  <c r="O408" i="1"/>
  <c r="N408" i="1"/>
  <c r="K408" i="1"/>
  <c r="I408" i="1"/>
  <c r="A408" i="1"/>
  <c r="P407" i="1"/>
  <c r="O407" i="1"/>
  <c r="N407" i="1"/>
  <c r="K407" i="1"/>
  <c r="I407" i="1"/>
  <c r="A407" i="1"/>
  <c r="P406" i="1"/>
  <c r="O406" i="1"/>
  <c r="N406" i="1"/>
  <c r="K406" i="1"/>
  <c r="I406" i="1"/>
  <c r="A406" i="1"/>
  <c r="P405" i="1"/>
  <c r="O405" i="1"/>
  <c r="N405" i="1"/>
  <c r="K405" i="1"/>
  <c r="I405" i="1"/>
  <c r="A405" i="1"/>
  <c r="A404" i="1"/>
  <c r="A403" i="1"/>
  <c r="A402" i="1"/>
  <c r="P401" i="1"/>
  <c r="O401" i="1"/>
  <c r="N401" i="1"/>
  <c r="K401" i="1"/>
  <c r="I401" i="1"/>
  <c r="A401" i="1"/>
  <c r="P400" i="1"/>
  <c r="O400" i="1"/>
  <c r="N400" i="1"/>
  <c r="K400" i="1"/>
  <c r="I400" i="1"/>
  <c r="A400" i="1"/>
  <c r="P399" i="1"/>
  <c r="O399" i="1"/>
  <c r="N399" i="1"/>
  <c r="K399" i="1"/>
  <c r="I399" i="1"/>
  <c r="A399" i="1"/>
  <c r="P398" i="1"/>
  <c r="O398" i="1"/>
  <c r="N398" i="1"/>
  <c r="K398" i="1"/>
  <c r="I398" i="1"/>
  <c r="A398" i="1"/>
  <c r="P397" i="1"/>
  <c r="O397" i="1"/>
  <c r="N397" i="1"/>
  <c r="K397" i="1"/>
  <c r="I397" i="1"/>
  <c r="A397" i="1"/>
  <c r="P396" i="1"/>
  <c r="O396" i="1"/>
  <c r="N396" i="1"/>
  <c r="K396" i="1"/>
  <c r="I396" i="1"/>
  <c r="A396" i="1"/>
  <c r="P395" i="1"/>
  <c r="O395" i="1"/>
  <c r="N395" i="1"/>
  <c r="K395" i="1"/>
  <c r="I395" i="1"/>
  <c r="A395" i="1"/>
  <c r="P394" i="1"/>
  <c r="O394" i="1"/>
  <c r="N394" i="1"/>
  <c r="K394" i="1"/>
  <c r="I394" i="1"/>
  <c r="A394" i="1"/>
  <c r="P393" i="1"/>
  <c r="O393" i="1"/>
  <c r="N393" i="1"/>
  <c r="K393" i="1"/>
  <c r="I393" i="1"/>
  <c r="A393" i="1"/>
  <c r="A392" i="1"/>
  <c r="A391" i="1"/>
  <c r="P390" i="1"/>
  <c r="O390" i="1"/>
  <c r="N390" i="1"/>
  <c r="K390" i="1"/>
  <c r="I390" i="1"/>
  <c r="A390" i="1"/>
  <c r="P389" i="1"/>
  <c r="O389" i="1"/>
  <c r="N389" i="1"/>
  <c r="K389" i="1"/>
  <c r="I389" i="1"/>
  <c r="A389" i="1"/>
  <c r="P388" i="1"/>
  <c r="O388" i="1"/>
  <c r="N388" i="1"/>
  <c r="K388" i="1"/>
  <c r="I388" i="1"/>
  <c r="A388" i="1"/>
  <c r="P387" i="1"/>
  <c r="O387" i="1"/>
  <c r="N387" i="1"/>
  <c r="K387" i="1"/>
  <c r="I387" i="1"/>
  <c r="A387" i="1"/>
  <c r="P386" i="1"/>
  <c r="O386" i="1"/>
  <c r="N386" i="1"/>
  <c r="K386" i="1"/>
  <c r="I386" i="1"/>
  <c r="A386" i="1"/>
  <c r="P385" i="1"/>
  <c r="O385" i="1"/>
  <c r="N385" i="1"/>
  <c r="K385" i="1"/>
  <c r="I385" i="1"/>
  <c r="A385" i="1"/>
  <c r="P384" i="1"/>
  <c r="O384" i="1"/>
  <c r="N384" i="1"/>
  <c r="K384" i="1"/>
  <c r="I384" i="1"/>
  <c r="A384" i="1"/>
  <c r="P383" i="1"/>
  <c r="O383" i="1"/>
  <c r="N383" i="1"/>
  <c r="K383" i="1"/>
  <c r="I383" i="1"/>
  <c r="A383" i="1"/>
  <c r="P382" i="1"/>
  <c r="O382" i="1"/>
  <c r="N382" i="1"/>
  <c r="K382" i="1"/>
  <c r="I382" i="1"/>
  <c r="A382" i="1"/>
  <c r="P381" i="1"/>
  <c r="O381" i="1"/>
  <c r="N381" i="1"/>
  <c r="K381" i="1"/>
  <c r="I381" i="1"/>
  <c r="A381" i="1"/>
  <c r="P380" i="1"/>
  <c r="O380" i="1"/>
  <c r="N380" i="1"/>
  <c r="K380" i="1"/>
  <c r="I380" i="1"/>
  <c r="F380" i="1"/>
  <c r="A380" i="1"/>
  <c r="P379" i="1"/>
  <c r="O379" i="1"/>
  <c r="N379" i="1"/>
  <c r="K379" i="1"/>
  <c r="I379" i="1"/>
  <c r="F379" i="1"/>
  <c r="A379" i="1"/>
  <c r="A378" i="1"/>
  <c r="A377" i="1"/>
  <c r="P376" i="1"/>
  <c r="O376" i="1"/>
  <c r="N376" i="1"/>
  <c r="K376" i="1"/>
  <c r="I376" i="1"/>
  <c r="A376" i="1"/>
  <c r="P375" i="1"/>
  <c r="O375" i="1"/>
  <c r="N375" i="1"/>
  <c r="K375" i="1"/>
  <c r="I375" i="1"/>
  <c r="A375" i="1"/>
  <c r="P374" i="1"/>
  <c r="O374" i="1"/>
  <c r="N374" i="1"/>
  <c r="K374" i="1"/>
  <c r="I374" i="1"/>
  <c r="A374" i="1"/>
  <c r="A373" i="1"/>
  <c r="A372" i="1"/>
  <c r="A371" i="1"/>
  <c r="Q370" i="1"/>
  <c r="M370" i="1"/>
  <c r="J370" i="1"/>
  <c r="A370" i="1"/>
  <c r="A369" i="1"/>
  <c r="P368" i="1"/>
  <c r="O368" i="1"/>
  <c r="N368" i="1"/>
  <c r="K368" i="1"/>
  <c r="I368" i="1"/>
  <c r="A368" i="1"/>
  <c r="P367" i="1"/>
  <c r="O367" i="1"/>
  <c r="N367" i="1"/>
  <c r="K367" i="1"/>
  <c r="I367" i="1"/>
  <c r="A367" i="1"/>
  <c r="P366" i="1"/>
  <c r="O366" i="1"/>
  <c r="N366" i="1"/>
  <c r="K366" i="1"/>
  <c r="I366" i="1"/>
  <c r="A366" i="1"/>
  <c r="A365" i="1"/>
  <c r="A364" i="1"/>
  <c r="P363" i="1"/>
  <c r="O363" i="1"/>
  <c r="N363" i="1"/>
  <c r="K363" i="1"/>
  <c r="I363" i="1"/>
  <c r="A363" i="1"/>
  <c r="P362" i="1"/>
  <c r="O362" i="1"/>
  <c r="N362" i="1"/>
  <c r="K362" i="1"/>
  <c r="I362" i="1"/>
  <c r="A362" i="1"/>
  <c r="P361" i="1"/>
  <c r="O361" i="1"/>
  <c r="N361" i="1"/>
  <c r="K361" i="1"/>
  <c r="I361" i="1"/>
  <c r="A361" i="1"/>
  <c r="P360" i="1"/>
  <c r="O360" i="1"/>
  <c r="N360" i="1"/>
  <c r="K360" i="1"/>
  <c r="I360" i="1"/>
  <c r="A360" i="1"/>
  <c r="A359" i="1"/>
  <c r="A358" i="1"/>
  <c r="P357" i="1"/>
  <c r="O357" i="1"/>
  <c r="N357" i="1"/>
  <c r="K357" i="1"/>
  <c r="I357" i="1"/>
  <c r="A357" i="1"/>
  <c r="P356" i="1"/>
  <c r="O356" i="1"/>
  <c r="N356" i="1"/>
  <c r="K356" i="1"/>
  <c r="I356" i="1"/>
  <c r="A356" i="1"/>
  <c r="P355" i="1"/>
  <c r="O355" i="1"/>
  <c r="N355" i="1"/>
  <c r="K355" i="1"/>
  <c r="I355" i="1"/>
  <c r="A355" i="1"/>
  <c r="P354" i="1"/>
  <c r="O354" i="1"/>
  <c r="N354" i="1"/>
  <c r="K354" i="1"/>
  <c r="I354" i="1"/>
  <c r="A354" i="1"/>
  <c r="P353" i="1"/>
  <c r="O353" i="1"/>
  <c r="N353" i="1"/>
  <c r="K353" i="1"/>
  <c r="I353" i="1"/>
  <c r="A353" i="1"/>
  <c r="A352" i="1"/>
  <c r="A351" i="1"/>
  <c r="P350" i="1"/>
  <c r="O350" i="1"/>
  <c r="N350" i="1"/>
  <c r="K350" i="1"/>
  <c r="I350" i="1"/>
  <c r="A350" i="1"/>
  <c r="P349" i="1"/>
  <c r="O349" i="1"/>
  <c r="N349" i="1"/>
  <c r="K349" i="1"/>
  <c r="I349" i="1"/>
  <c r="A349" i="1"/>
  <c r="P348" i="1"/>
  <c r="O348" i="1"/>
  <c r="N348" i="1"/>
  <c r="K348" i="1"/>
  <c r="I348" i="1"/>
  <c r="A348" i="1"/>
  <c r="P347" i="1"/>
  <c r="O347" i="1"/>
  <c r="N347" i="1"/>
  <c r="K347" i="1"/>
  <c r="I347" i="1"/>
  <c r="A347" i="1"/>
  <c r="P346" i="1"/>
  <c r="O346" i="1"/>
  <c r="N346" i="1"/>
  <c r="K346" i="1"/>
  <c r="I346" i="1"/>
  <c r="A346" i="1"/>
  <c r="A345" i="1"/>
  <c r="A344" i="1"/>
  <c r="P343" i="1"/>
  <c r="O343" i="1"/>
  <c r="N343" i="1"/>
  <c r="K343" i="1"/>
  <c r="I343" i="1"/>
  <c r="A343" i="1"/>
  <c r="P342" i="1"/>
  <c r="O342" i="1"/>
  <c r="N342" i="1"/>
  <c r="K342" i="1"/>
  <c r="I342" i="1"/>
  <c r="A342" i="1"/>
  <c r="P341" i="1"/>
  <c r="O341" i="1"/>
  <c r="N341" i="1"/>
  <c r="K341" i="1"/>
  <c r="I341" i="1"/>
  <c r="A341" i="1"/>
  <c r="P340" i="1"/>
  <c r="O340" i="1"/>
  <c r="N340" i="1"/>
  <c r="K340" i="1"/>
  <c r="I340" i="1"/>
  <c r="A340" i="1"/>
  <c r="P339" i="1"/>
  <c r="O339" i="1"/>
  <c r="N339" i="1"/>
  <c r="K339" i="1"/>
  <c r="I339" i="1"/>
  <c r="A339" i="1"/>
  <c r="P338" i="1"/>
  <c r="O338" i="1"/>
  <c r="N338" i="1"/>
  <c r="K338" i="1"/>
  <c r="I338" i="1"/>
  <c r="A338" i="1"/>
  <c r="P337" i="1"/>
  <c r="O337" i="1"/>
  <c r="N337" i="1"/>
  <c r="K337" i="1"/>
  <c r="I337" i="1"/>
  <c r="A337" i="1"/>
  <c r="P336" i="1"/>
  <c r="O336" i="1"/>
  <c r="N336" i="1"/>
  <c r="K336" i="1"/>
  <c r="I336" i="1"/>
  <c r="A336" i="1"/>
  <c r="P335" i="1"/>
  <c r="O335" i="1"/>
  <c r="N335" i="1"/>
  <c r="K335" i="1"/>
  <c r="I335" i="1"/>
  <c r="A335" i="1"/>
  <c r="A334" i="1"/>
  <c r="A333" i="1"/>
  <c r="P332" i="1"/>
  <c r="O332" i="1"/>
  <c r="N332" i="1"/>
  <c r="K332" i="1"/>
  <c r="I332" i="1"/>
  <c r="A332" i="1"/>
  <c r="P331" i="1"/>
  <c r="O331" i="1"/>
  <c r="N331" i="1"/>
  <c r="K331" i="1"/>
  <c r="I331" i="1"/>
  <c r="A331" i="1"/>
  <c r="P330" i="1"/>
  <c r="O330" i="1"/>
  <c r="N330" i="1"/>
  <c r="K330" i="1"/>
  <c r="I330" i="1"/>
  <c r="A330" i="1"/>
  <c r="P329" i="1"/>
  <c r="O329" i="1"/>
  <c r="N329" i="1"/>
  <c r="K329" i="1"/>
  <c r="I329" i="1"/>
  <c r="A329" i="1"/>
  <c r="P328" i="1"/>
  <c r="O328" i="1"/>
  <c r="N328" i="1"/>
  <c r="K328" i="1"/>
  <c r="I328" i="1"/>
  <c r="A328" i="1"/>
  <c r="P327" i="1"/>
  <c r="O327" i="1"/>
  <c r="N327" i="1"/>
  <c r="K327" i="1"/>
  <c r="I327" i="1"/>
  <c r="A327" i="1"/>
  <c r="P326" i="1"/>
  <c r="O326" i="1"/>
  <c r="N326" i="1"/>
  <c r="K326" i="1"/>
  <c r="I326" i="1"/>
  <c r="A326" i="1"/>
  <c r="P325" i="1"/>
  <c r="O325" i="1"/>
  <c r="N325" i="1"/>
  <c r="K325" i="1"/>
  <c r="I325" i="1"/>
  <c r="A325" i="1"/>
  <c r="A324" i="1"/>
  <c r="A323" i="1"/>
  <c r="P322" i="1"/>
  <c r="O322" i="1"/>
  <c r="N322" i="1"/>
  <c r="K322" i="1"/>
  <c r="I322" i="1"/>
  <c r="A322" i="1"/>
  <c r="P321" i="1"/>
  <c r="O321" i="1"/>
  <c r="N321" i="1"/>
  <c r="K321" i="1"/>
  <c r="I321" i="1"/>
  <c r="A321" i="1"/>
  <c r="A320" i="1"/>
  <c r="P319" i="1"/>
  <c r="O319" i="1"/>
  <c r="N319" i="1"/>
  <c r="K319" i="1"/>
  <c r="I319" i="1"/>
  <c r="A319" i="1"/>
  <c r="P318" i="1"/>
  <c r="O318" i="1"/>
  <c r="N318" i="1"/>
  <c r="K318" i="1"/>
  <c r="I318" i="1"/>
  <c r="A318" i="1"/>
  <c r="A317" i="1"/>
  <c r="P316" i="1"/>
  <c r="O316" i="1"/>
  <c r="N316" i="1"/>
  <c r="K316" i="1"/>
  <c r="I316" i="1"/>
  <c r="A316" i="1"/>
  <c r="P315" i="1"/>
  <c r="O315" i="1"/>
  <c r="N315" i="1"/>
  <c r="K315" i="1"/>
  <c r="I315" i="1"/>
  <c r="A315" i="1"/>
  <c r="A314" i="1"/>
  <c r="P313" i="1"/>
  <c r="O313" i="1"/>
  <c r="N313" i="1"/>
  <c r="K313" i="1"/>
  <c r="I313" i="1"/>
  <c r="A313" i="1"/>
  <c r="P312" i="1"/>
  <c r="O312" i="1"/>
  <c r="N312" i="1"/>
  <c r="K312" i="1"/>
  <c r="I312" i="1"/>
  <c r="A312" i="1"/>
  <c r="A311" i="1"/>
  <c r="A310" i="1"/>
  <c r="A309" i="1"/>
  <c r="A308" i="1"/>
  <c r="Q307" i="1"/>
  <c r="M307" i="1"/>
  <c r="J307" i="1"/>
  <c r="A307" i="1"/>
  <c r="A306" i="1"/>
  <c r="A305" i="1"/>
  <c r="P304" i="1"/>
  <c r="O304" i="1"/>
  <c r="N304" i="1"/>
  <c r="K304" i="1"/>
  <c r="I304" i="1"/>
  <c r="A304" i="1"/>
  <c r="A303" i="1"/>
  <c r="P302" i="1"/>
  <c r="O302" i="1"/>
  <c r="N302" i="1"/>
  <c r="K302" i="1"/>
  <c r="I302" i="1"/>
  <c r="A302" i="1"/>
  <c r="P301" i="1"/>
  <c r="O301" i="1"/>
  <c r="N301" i="1"/>
  <c r="K301" i="1"/>
  <c r="I301" i="1"/>
  <c r="A301" i="1"/>
  <c r="P300" i="1"/>
  <c r="O300" i="1"/>
  <c r="N300" i="1"/>
  <c r="K300" i="1"/>
  <c r="I300" i="1"/>
  <c r="A300" i="1"/>
  <c r="P299" i="1"/>
  <c r="O299" i="1"/>
  <c r="N299" i="1"/>
  <c r="K299" i="1"/>
  <c r="I299" i="1"/>
  <c r="A299" i="1"/>
  <c r="P298" i="1"/>
  <c r="O298" i="1"/>
  <c r="N298" i="1"/>
  <c r="K298" i="1"/>
  <c r="I298" i="1"/>
  <c r="A298" i="1"/>
  <c r="A297" i="1"/>
  <c r="A296" i="1"/>
  <c r="P295" i="1"/>
  <c r="O295" i="1"/>
  <c r="N295" i="1"/>
  <c r="K295" i="1"/>
  <c r="I295" i="1"/>
  <c r="A295" i="1"/>
  <c r="P294" i="1"/>
  <c r="O294" i="1"/>
  <c r="N294" i="1"/>
  <c r="K294" i="1"/>
  <c r="I294" i="1"/>
  <c r="A294" i="1"/>
  <c r="P293" i="1"/>
  <c r="O293" i="1"/>
  <c r="N293" i="1"/>
  <c r="K293" i="1"/>
  <c r="I293" i="1"/>
  <c r="A293" i="1"/>
  <c r="P292" i="1"/>
  <c r="O292" i="1"/>
  <c r="N292" i="1"/>
  <c r="K292" i="1"/>
  <c r="I292" i="1"/>
  <c r="A292" i="1"/>
  <c r="P291" i="1"/>
  <c r="O291" i="1"/>
  <c r="N291" i="1"/>
  <c r="K291" i="1"/>
  <c r="I291" i="1"/>
  <c r="A291" i="1"/>
  <c r="P290" i="1"/>
  <c r="O290" i="1"/>
  <c r="N290" i="1"/>
  <c r="K290" i="1"/>
  <c r="I290" i="1"/>
  <c r="A290" i="1"/>
  <c r="P289" i="1"/>
  <c r="O289" i="1"/>
  <c r="N289" i="1"/>
  <c r="K289" i="1"/>
  <c r="I289" i="1"/>
  <c r="A289" i="1"/>
  <c r="P288" i="1"/>
  <c r="O288" i="1"/>
  <c r="N288" i="1"/>
  <c r="K288" i="1"/>
  <c r="I288" i="1"/>
  <c r="A288" i="1"/>
  <c r="P287" i="1"/>
  <c r="O287" i="1"/>
  <c r="N287" i="1"/>
  <c r="K287" i="1"/>
  <c r="I287" i="1"/>
  <c r="A287" i="1"/>
  <c r="P286" i="1"/>
  <c r="O286" i="1"/>
  <c r="N286" i="1"/>
  <c r="K286" i="1"/>
  <c r="I286" i="1"/>
  <c r="A286" i="1"/>
  <c r="P285" i="1"/>
  <c r="O285" i="1"/>
  <c r="N285" i="1"/>
  <c r="K285" i="1"/>
  <c r="I285" i="1"/>
  <c r="A285" i="1"/>
  <c r="P284" i="1"/>
  <c r="O284" i="1"/>
  <c r="N284" i="1"/>
  <c r="K284" i="1"/>
  <c r="I284" i="1"/>
  <c r="A284" i="1"/>
  <c r="P283" i="1"/>
  <c r="O283" i="1"/>
  <c r="N283" i="1"/>
  <c r="K283" i="1"/>
  <c r="I283" i="1"/>
  <c r="A283" i="1"/>
  <c r="A282" i="1"/>
  <c r="A281" i="1"/>
  <c r="P280" i="1"/>
  <c r="O280" i="1"/>
  <c r="N280" i="1"/>
  <c r="K280" i="1"/>
  <c r="I280" i="1"/>
  <c r="A280" i="1"/>
  <c r="P279" i="1"/>
  <c r="O279" i="1"/>
  <c r="N279" i="1"/>
  <c r="K279" i="1"/>
  <c r="I279" i="1"/>
  <c r="A279" i="1"/>
  <c r="P278" i="1"/>
  <c r="O278" i="1"/>
  <c r="N278" i="1"/>
  <c r="K278" i="1"/>
  <c r="I278" i="1"/>
  <c r="A278" i="1"/>
  <c r="P277" i="1"/>
  <c r="O277" i="1"/>
  <c r="N277" i="1"/>
  <c r="K277" i="1"/>
  <c r="I277" i="1"/>
  <c r="A277" i="1"/>
  <c r="P276" i="1"/>
  <c r="O276" i="1"/>
  <c r="N276" i="1"/>
  <c r="K276" i="1"/>
  <c r="I276" i="1"/>
  <c r="A276" i="1"/>
  <c r="P275" i="1"/>
  <c r="O275" i="1"/>
  <c r="N275" i="1"/>
  <c r="K275" i="1"/>
  <c r="I275" i="1"/>
  <c r="A275" i="1"/>
  <c r="P274" i="1"/>
  <c r="O274" i="1"/>
  <c r="N274" i="1"/>
  <c r="K274" i="1"/>
  <c r="I274" i="1"/>
  <c r="A274" i="1"/>
  <c r="P273" i="1"/>
  <c r="O273" i="1"/>
  <c r="N273" i="1"/>
  <c r="K273" i="1"/>
  <c r="I273" i="1"/>
  <c r="A273" i="1"/>
  <c r="P272" i="1"/>
  <c r="O272" i="1"/>
  <c r="N272" i="1"/>
  <c r="K272" i="1"/>
  <c r="I272" i="1"/>
  <c r="A272" i="1"/>
  <c r="P271" i="1"/>
  <c r="O271" i="1"/>
  <c r="N271" i="1"/>
  <c r="K271" i="1"/>
  <c r="I271" i="1"/>
  <c r="A271" i="1"/>
  <c r="P270" i="1"/>
  <c r="O270" i="1"/>
  <c r="N270" i="1"/>
  <c r="K270" i="1"/>
  <c r="I270" i="1"/>
  <c r="A270" i="1"/>
  <c r="P269" i="1"/>
  <c r="O269" i="1"/>
  <c r="N269" i="1"/>
  <c r="K269" i="1"/>
  <c r="I269" i="1"/>
  <c r="A269" i="1"/>
  <c r="A268" i="1"/>
  <c r="A267" i="1"/>
  <c r="P266" i="1"/>
  <c r="O266" i="1"/>
  <c r="N266" i="1"/>
  <c r="K266" i="1"/>
  <c r="I266" i="1"/>
  <c r="A266" i="1"/>
  <c r="P265" i="1"/>
  <c r="O265" i="1"/>
  <c r="N265" i="1"/>
  <c r="K265" i="1"/>
  <c r="I265" i="1"/>
  <c r="A265" i="1"/>
  <c r="P264" i="1"/>
  <c r="O264" i="1"/>
  <c r="N264" i="1"/>
  <c r="K264" i="1"/>
  <c r="I264" i="1"/>
  <c r="A264" i="1"/>
  <c r="P263" i="1"/>
  <c r="O263" i="1"/>
  <c r="N263" i="1"/>
  <c r="K263" i="1"/>
  <c r="I263" i="1"/>
  <c r="A263" i="1"/>
  <c r="P262" i="1"/>
  <c r="O262" i="1"/>
  <c r="N262" i="1"/>
  <c r="K262" i="1"/>
  <c r="I262" i="1"/>
  <c r="A262" i="1"/>
  <c r="P261" i="1"/>
  <c r="O261" i="1"/>
  <c r="N261" i="1"/>
  <c r="K261" i="1"/>
  <c r="I261" i="1"/>
  <c r="A261" i="1"/>
  <c r="P260" i="1"/>
  <c r="O260" i="1"/>
  <c r="N260" i="1"/>
  <c r="K260" i="1"/>
  <c r="I260" i="1"/>
  <c r="A260" i="1"/>
  <c r="P259" i="1"/>
  <c r="O259" i="1"/>
  <c r="N259" i="1"/>
  <c r="K259" i="1"/>
  <c r="I259" i="1"/>
  <c r="A259" i="1"/>
  <c r="P258" i="1"/>
  <c r="O258" i="1"/>
  <c r="N258" i="1"/>
  <c r="K258" i="1"/>
  <c r="I258" i="1"/>
  <c r="A258" i="1"/>
  <c r="P257" i="1"/>
  <c r="O257" i="1"/>
  <c r="N257" i="1"/>
  <c r="K257" i="1"/>
  <c r="I257" i="1"/>
  <c r="A257" i="1"/>
  <c r="P256" i="1"/>
  <c r="O256" i="1"/>
  <c r="N256" i="1"/>
  <c r="K256" i="1"/>
  <c r="I256" i="1"/>
  <c r="A256" i="1"/>
  <c r="P255" i="1"/>
  <c r="O255" i="1"/>
  <c r="N255" i="1"/>
  <c r="K255" i="1"/>
  <c r="I255" i="1"/>
  <c r="A255" i="1"/>
  <c r="P254" i="1"/>
  <c r="O254" i="1"/>
  <c r="N254" i="1"/>
  <c r="K254" i="1"/>
  <c r="I254" i="1"/>
  <c r="A254" i="1"/>
  <c r="P253" i="1"/>
  <c r="O253" i="1"/>
  <c r="N253" i="1"/>
  <c r="K253" i="1"/>
  <c r="I253" i="1"/>
  <c r="A253" i="1"/>
  <c r="P252" i="1"/>
  <c r="O252" i="1"/>
  <c r="N252" i="1"/>
  <c r="K252" i="1"/>
  <c r="I252" i="1"/>
  <c r="A252" i="1"/>
  <c r="P251" i="1"/>
  <c r="O251" i="1"/>
  <c r="N251" i="1"/>
  <c r="K251" i="1"/>
  <c r="I251" i="1"/>
  <c r="A251" i="1"/>
  <c r="P250" i="1"/>
  <c r="O250" i="1"/>
  <c r="N250" i="1"/>
  <c r="K250" i="1"/>
  <c r="I250" i="1"/>
  <c r="A250" i="1"/>
  <c r="P249" i="1"/>
  <c r="O249" i="1"/>
  <c r="N249" i="1"/>
  <c r="K249" i="1"/>
  <c r="I249" i="1"/>
  <c r="A249" i="1"/>
  <c r="P248" i="1"/>
  <c r="O248" i="1"/>
  <c r="N248" i="1"/>
  <c r="K248" i="1"/>
  <c r="I248" i="1"/>
  <c r="A248" i="1"/>
  <c r="P247" i="1"/>
  <c r="O247" i="1"/>
  <c r="N247" i="1"/>
  <c r="K247" i="1"/>
  <c r="I247" i="1"/>
  <c r="A247" i="1"/>
  <c r="P246" i="1"/>
  <c r="O246" i="1"/>
  <c r="N246" i="1"/>
  <c r="K246" i="1"/>
  <c r="I246" i="1"/>
  <c r="A246" i="1"/>
  <c r="A245" i="1"/>
  <c r="A244" i="1"/>
  <c r="P243" i="1"/>
  <c r="O243" i="1"/>
  <c r="N243" i="1"/>
  <c r="K243" i="1"/>
  <c r="I243" i="1"/>
  <c r="A243" i="1"/>
  <c r="P242" i="1"/>
  <c r="O242" i="1"/>
  <c r="N242" i="1"/>
  <c r="K242" i="1"/>
  <c r="I242" i="1"/>
  <c r="A242" i="1"/>
  <c r="P241" i="1"/>
  <c r="O241" i="1"/>
  <c r="N241" i="1"/>
  <c r="K241" i="1"/>
  <c r="I241" i="1"/>
  <c r="A241" i="1"/>
  <c r="P240" i="1"/>
  <c r="O240" i="1"/>
  <c r="N240" i="1"/>
  <c r="K240" i="1"/>
  <c r="I240" i="1"/>
  <c r="A240" i="1"/>
  <c r="P239" i="1"/>
  <c r="O239" i="1"/>
  <c r="N239" i="1"/>
  <c r="K239" i="1"/>
  <c r="I239" i="1"/>
  <c r="A239" i="1"/>
  <c r="P238" i="1"/>
  <c r="O238" i="1"/>
  <c r="N238" i="1"/>
  <c r="K238" i="1"/>
  <c r="I238" i="1"/>
  <c r="A238" i="1"/>
  <c r="P237" i="1"/>
  <c r="O237" i="1"/>
  <c r="N237" i="1"/>
  <c r="K237" i="1"/>
  <c r="I237" i="1"/>
  <c r="A237" i="1"/>
  <c r="P236" i="1"/>
  <c r="O236" i="1"/>
  <c r="N236" i="1"/>
  <c r="K236" i="1"/>
  <c r="I236" i="1"/>
  <c r="A236" i="1"/>
  <c r="P235" i="1"/>
  <c r="O235" i="1"/>
  <c r="N235" i="1"/>
  <c r="K235" i="1"/>
  <c r="I235" i="1"/>
  <c r="A235" i="1"/>
  <c r="P234" i="1"/>
  <c r="O234" i="1"/>
  <c r="N234" i="1"/>
  <c r="K234" i="1"/>
  <c r="I234" i="1"/>
  <c r="A234" i="1"/>
  <c r="P233" i="1"/>
  <c r="O233" i="1"/>
  <c r="N233" i="1"/>
  <c r="K233" i="1"/>
  <c r="I233" i="1"/>
  <c r="A233" i="1"/>
  <c r="P232" i="1"/>
  <c r="O232" i="1"/>
  <c r="N232" i="1"/>
  <c r="K232" i="1"/>
  <c r="I232" i="1"/>
  <c r="A232" i="1"/>
  <c r="P231" i="1"/>
  <c r="O231" i="1"/>
  <c r="N231" i="1"/>
  <c r="K231" i="1"/>
  <c r="I231" i="1"/>
  <c r="A231" i="1"/>
  <c r="P230" i="1"/>
  <c r="O230" i="1"/>
  <c r="N230" i="1"/>
  <c r="K230" i="1"/>
  <c r="I230" i="1"/>
  <c r="A230" i="1"/>
  <c r="P229" i="1"/>
  <c r="O229" i="1"/>
  <c r="N229" i="1"/>
  <c r="K229" i="1"/>
  <c r="I229" i="1"/>
  <c r="A229" i="1"/>
  <c r="P228" i="1"/>
  <c r="O228" i="1"/>
  <c r="N228" i="1"/>
  <c r="K228" i="1"/>
  <c r="I228" i="1"/>
  <c r="A228" i="1"/>
  <c r="P227" i="1"/>
  <c r="O227" i="1"/>
  <c r="N227" i="1"/>
  <c r="K227" i="1"/>
  <c r="I227" i="1"/>
  <c r="A227" i="1"/>
  <c r="P226" i="1"/>
  <c r="O226" i="1"/>
  <c r="N226" i="1"/>
  <c r="K226" i="1"/>
  <c r="I226" i="1"/>
  <c r="A226" i="1"/>
  <c r="P225" i="1"/>
  <c r="O225" i="1"/>
  <c r="N225" i="1"/>
  <c r="K225" i="1"/>
  <c r="I225" i="1"/>
  <c r="A225" i="1"/>
  <c r="P224" i="1"/>
  <c r="O224" i="1"/>
  <c r="N224" i="1"/>
  <c r="K224" i="1"/>
  <c r="I224" i="1"/>
  <c r="A224" i="1"/>
  <c r="A223" i="1"/>
  <c r="A222" i="1"/>
  <c r="P221" i="1"/>
  <c r="O221" i="1"/>
  <c r="N221" i="1"/>
  <c r="M221" i="1"/>
  <c r="L221" i="1"/>
  <c r="K221" i="1"/>
  <c r="J221" i="1"/>
  <c r="I221" i="1"/>
  <c r="H221" i="1"/>
  <c r="A221" i="1"/>
  <c r="Q220" i="1"/>
  <c r="M220" i="1"/>
  <c r="J220" i="1"/>
  <c r="A220" i="1"/>
  <c r="A219" i="1"/>
  <c r="P218" i="1"/>
  <c r="O218" i="1"/>
  <c r="N218" i="1"/>
  <c r="K218" i="1"/>
  <c r="I218" i="1"/>
  <c r="A218" i="1"/>
  <c r="P217" i="1"/>
  <c r="O217" i="1"/>
  <c r="N217" i="1"/>
  <c r="K217" i="1"/>
  <c r="I217" i="1"/>
  <c r="A217" i="1"/>
  <c r="P216" i="1"/>
  <c r="O216" i="1"/>
  <c r="N216" i="1"/>
  <c r="K216" i="1"/>
  <c r="I216" i="1"/>
  <c r="A216" i="1"/>
  <c r="P215" i="1"/>
  <c r="O215" i="1"/>
  <c r="N215" i="1"/>
  <c r="K215" i="1"/>
  <c r="I215" i="1"/>
  <c r="A215" i="1"/>
  <c r="A214" i="1"/>
  <c r="A213" i="1"/>
  <c r="P212" i="1"/>
  <c r="O212" i="1"/>
  <c r="N212" i="1"/>
  <c r="K212" i="1"/>
  <c r="I212" i="1"/>
  <c r="A212" i="1"/>
  <c r="A211" i="1"/>
  <c r="A210" i="1"/>
  <c r="P209" i="1"/>
  <c r="O209" i="1"/>
  <c r="N209" i="1"/>
  <c r="M209" i="1"/>
  <c r="L209" i="1"/>
  <c r="K209" i="1"/>
  <c r="J209" i="1"/>
  <c r="I209" i="1"/>
  <c r="H209" i="1"/>
  <c r="A209" i="1"/>
  <c r="Q208" i="1"/>
  <c r="M208" i="1"/>
  <c r="J208" i="1"/>
  <c r="A208" i="1"/>
  <c r="A207" i="1"/>
  <c r="P206" i="1"/>
  <c r="O206" i="1"/>
  <c r="N206" i="1"/>
  <c r="K206" i="1"/>
  <c r="I206" i="1"/>
  <c r="A206" i="1"/>
  <c r="P205" i="1"/>
  <c r="O205" i="1"/>
  <c r="N205" i="1"/>
  <c r="K205" i="1"/>
  <c r="I205" i="1"/>
  <c r="A205" i="1"/>
  <c r="P204" i="1"/>
  <c r="O204" i="1"/>
  <c r="N204" i="1"/>
  <c r="K204" i="1"/>
  <c r="I204" i="1"/>
  <c r="A204" i="1"/>
  <c r="P203" i="1"/>
  <c r="O203" i="1"/>
  <c r="N203" i="1"/>
  <c r="K203" i="1"/>
  <c r="I203" i="1"/>
  <c r="A203" i="1"/>
  <c r="P202" i="1"/>
  <c r="O202" i="1"/>
  <c r="N202" i="1"/>
  <c r="K202" i="1"/>
  <c r="I202" i="1"/>
  <c r="A202" i="1"/>
  <c r="P201" i="1"/>
  <c r="O201" i="1"/>
  <c r="N201" i="1"/>
  <c r="K201" i="1"/>
  <c r="I201" i="1"/>
  <c r="A201" i="1"/>
  <c r="P200" i="1"/>
  <c r="O200" i="1"/>
  <c r="N200" i="1"/>
  <c r="K200" i="1"/>
  <c r="I200" i="1"/>
  <c r="A200" i="1"/>
  <c r="P199" i="1"/>
  <c r="O199" i="1"/>
  <c r="N199" i="1"/>
  <c r="K199" i="1"/>
  <c r="I199" i="1"/>
  <c r="A199" i="1"/>
  <c r="P198" i="1"/>
  <c r="O198" i="1"/>
  <c r="N198" i="1"/>
  <c r="K198" i="1"/>
  <c r="I198" i="1"/>
  <c r="A198" i="1"/>
  <c r="P197" i="1"/>
  <c r="O197" i="1"/>
  <c r="N197" i="1"/>
  <c r="K197" i="1"/>
  <c r="I197" i="1"/>
  <c r="A197" i="1"/>
  <c r="P196" i="1"/>
  <c r="O196" i="1"/>
  <c r="N196" i="1"/>
  <c r="K196" i="1"/>
  <c r="I196" i="1"/>
  <c r="A196" i="1"/>
  <c r="P195" i="1"/>
  <c r="O195" i="1"/>
  <c r="N195" i="1"/>
  <c r="K195" i="1"/>
  <c r="I195" i="1"/>
  <c r="A195" i="1"/>
  <c r="P194" i="1"/>
  <c r="O194" i="1"/>
  <c r="N194" i="1"/>
  <c r="K194" i="1"/>
  <c r="I194" i="1"/>
  <c r="A194" i="1"/>
  <c r="P193" i="1"/>
  <c r="O193" i="1"/>
  <c r="N193" i="1"/>
  <c r="K193" i="1"/>
  <c r="I193" i="1"/>
  <c r="A193" i="1"/>
  <c r="P192" i="1"/>
  <c r="O192" i="1"/>
  <c r="N192" i="1"/>
  <c r="K192" i="1"/>
  <c r="I192" i="1"/>
  <c r="A192" i="1"/>
  <c r="P191" i="1"/>
  <c r="O191" i="1"/>
  <c r="N191" i="1"/>
  <c r="K191" i="1"/>
  <c r="I191" i="1"/>
  <c r="A191" i="1"/>
  <c r="P190" i="1"/>
  <c r="O190" i="1"/>
  <c r="N190" i="1"/>
  <c r="K190" i="1"/>
  <c r="I190" i="1"/>
  <c r="A190" i="1"/>
  <c r="P189" i="1"/>
  <c r="O189" i="1"/>
  <c r="N189" i="1"/>
  <c r="K189" i="1"/>
  <c r="I189" i="1"/>
  <c r="A189" i="1"/>
  <c r="P188" i="1"/>
  <c r="O188" i="1"/>
  <c r="N188" i="1"/>
  <c r="K188" i="1"/>
  <c r="I188" i="1"/>
  <c r="A188" i="1"/>
  <c r="P187" i="1"/>
  <c r="O187" i="1"/>
  <c r="N187" i="1"/>
  <c r="K187" i="1"/>
  <c r="I187" i="1"/>
  <c r="A187" i="1"/>
  <c r="P186" i="1"/>
  <c r="O186" i="1"/>
  <c r="N186" i="1"/>
  <c r="K186" i="1"/>
  <c r="I186" i="1"/>
  <c r="A186" i="1"/>
  <c r="P185" i="1"/>
  <c r="O185" i="1"/>
  <c r="N185" i="1"/>
  <c r="K185" i="1"/>
  <c r="I185" i="1"/>
  <c r="A185" i="1"/>
  <c r="P184" i="1"/>
  <c r="O184" i="1"/>
  <c r="N184" i="1"/>
  <c r="K184" i="1"/>
  <c r="I184" i="1"/>
  <c r="A184" i="1"/>
  <c r="P183" i="1"/>
  <c r="O183" i="1"/>
  <c r="N183" i="1"/>
  <c r="K183" i="1"/>
  <c r="I183" i="1"/>
  <c r="A183" i="1"/>
  <c r="P182" i="1"/>
  <c r="O182" i="1"/>
  <c r="N182" i="1"/>
  <c r="K182" i="1"/>
  <c r="I182" i="1"/>
  <c r="A182" i="1"/>
  <c r="P181" i="1"/>
  <c r="O181" i="1"/>
  <c r="N181" i="1"/>
  <c r="K181" i="1"/>
  <c r="I181" i="1"/>
  <c r="A181" i="1"/>
  <c r="P180" i="1"/>
  <c r="O180" i="1"/>
  <c r="N180" i="1"/>
  <c r="K180" i="1"/>
  <c r="I180" i="1"/>
  <c r="A180" i="1"/>
  <c r="P179" i="1"/>
  <c r="O179" i="1"/>
  <c r="N179" i="1"/>
  <c r="K179" i="1"/>
  <c r="I179" i="1"/>
  <c r="A179" i="1"/>
  <c r="P178" i="1"/>
  <c r="O178" i="1"/>
  <c r="N178" i="1"/>
  <c r="K178" i="1"/>
  <c r="I178" i="1"/>
  <c r="A178" i="1"/>
  <c r="P177" i="1"/>
  <c r="O177" i="1"/>
  <c r="N177" i="1"/>
  <c r="K177" i="1"/>
  <c r="I177" i="1"/>
  <c r="A177" i="1"/>
  <c r="P176" i="1"/>
  <c r="O176" i="1"/>
  <c r="N176" i="1"/>
  <c r="K176" i="1"/>
  <c r="I176" i="1"/>
  <c r="A176" i="1"/>
  <c r="P175" i="1"/>
  <c r="O175" i="1"/>
  <c r="N175" i="1"/>
  <c r="K175" i="1"/>
  <c r="I175" i="1"/>
  <c r="A175" i="1"/>
  <c r="P174" i="1"/>
  <c r="O174" i="1"/>
  <c r="N174" i="1"/>
  <c r="K174" i="1"/>
  <c r="I174" i="1"/>
  <c r="A174" i="1"/>
  <c r="P173" i="1"/>
  <c r="O173" i="1"/>
  <c r="N173" i="1"/>
  <c r="K173" i="1"/>
  <c r="I173" i="1"/>
  <c r="A173" i="1"/>
  <c r="P172" i="1"/>
  <c r="O172" i="1"/>
  <c r="N172" i="1"/>
  <c r="K172" i="1"/>
  <c r="I172" i="1"/>
  <c r="A172" i="1"/>
  <c r="P171" i="1"/>
  <c r="O171" i="1"/>
  <c r="N171" i="1"/>
  <c r="K171" i="1"/>
  <c r="I171" i="1"/>
  <c r="A171" i="1"/>
  <c r="P170" i="1"/>
  <c r="O170" i="1"/>
  <c r="N170" i="1"/>
  <c r="K170" i="1"/>
  <c r="I170" i="1"/>
  <c r="A170" i="1"/>
  <c r="P169" i="1"/>
  <c r="O169" i="1"/>
  <c r="N169" i="1"/>
  <c r="K169" i="1"/>
  <c r="I169" i="1"/>
  <c r="A169" i="1"/>
  <c r="P168" i="1"/>
  <c r="O168" i="1"/>
  <c r="N168" i="1"/>
  <c r="K168" i="1"/>
  <c r="I168" i="1"/>
  <c r="A168" i="1"/>
  <c r="P167" i="1"/>
  <c r="O167" i="1"/>
  <c r="N167" i="1"/>
  <c r="K167" i="1"/>
  <c r="I167" i="1"/>
  <c r="A167" i="1"/>
  <c r="P166" i="1"/>
  <c r="O166" i="1"/>
  <c r="N166" i="1"/>
  <c r="K166" i="1"/>
  <c r="I166" i="1"/>
  <c r="A166" i="1"/>
  <c r="P165" i="1"/>
  <c r="O165" i="1"/>
  <c r="N165" i="1"/>
  <c r="K165" i="1"/>
  <c r="I165" i="1"/>
  <c r="A165" i="1"/>
  <c r="A164" i="1"/>
  <c r="A163" i="1"/>
  <c r="P162" i="1"/>
  <c r="O162" i="1"/>
  <c r="N162" i="1"/>
  <c r="M162" i="1"/>
  <c r="L162" i="1"/>
  <c r="K162" i="1"/>
  <c r="J162" i="1"/>
  <c r="I162" i="1"/>
  <c r="H162" i="1"/>
  <c r="A162" i="1"/>
  <c r="Q161" i="1"/>
  <c r="M161" i="1"/>
  <c r="J161" i="1"/>
  <c r="A161" i="1"/>
  <c r="A160" i="1"/>
  <c r="P159" i="1"/>
  <c r="O159" i="1"/>
  <c r="N159" i="1"/>
  <c r="K159" i="1"/>
  <c r="I159" i="1"/>
  <c r="A159" i="1"/>
  <c r="P158" i="1"/>
  <c r="O158" i="1"/>
  <c r="N158" i="1"/>
  <c r="K158" i="1"/>
  <c r="I158" i="1"/>
  <c r="A158" i="1"/>
  <c r="P157" i="1"/>
  <c r="O157" i="1"/>
  <c r="N157" i="1"/>
  <c r="K157" i="1"/>
  <c r="I157" i="1"/>
  <c r="A157" i="1"/>
  <c r="A156" i="1"/>
  <c r="A155" i="1"/>
  <c r="P154" i="1"/>
  <c r="O154" i="1"/>
  <c r="N154" i="1"/>
  <c r="K154" i="1"/>
  <c r="I154" i="1"/>
  <c r="A154" i="1"/>
  <c r="P153" i="1"/>
  <c r="O153" i="1"/>
  <c r="N153" i="1"/>
  <c r="K153" i="1"/>
  <c r="I153" i="1"/>
  <c r="A153" i="1"/>
  <c r="P152" i="1"/>
  <c r="O152" i="1"/>
  <c r="N152" i="1"/>
  <c r="K152" i="1"/>
  <c r="I152" i="1"/>
  <c r="A152" i="1"/>
  <c r="P151" i="1"/>
  <c r="O151" i="1"/>
  <c r="N151" i="1"/>
  <c r="K151" i="1"/>
  <c r="I151" i="1"/>
  <c r="A151" i="1"/>
  <c r="P150" i="1"/>
  <c r="O150" i="1"/>
  <c r="N150" i="1"/>
  <c r="K150" i="1"/>
  <c r="I150" i="1"/>
  <c r="A150" i="1"/>
  <c r="P149" i="1"/>
  <c r="O149" i="1"/>
  <c r="N149" i="1"/>
  <c r="K149" i="1"/>
  <c r="I149" i="1"/>
  <c r="A149" i="1"/>
  <c r="A148" i="1"/>
  <c r="A147" i="1"/>
  <c r="P146" i="1"/>
  <c r="O146" i="1"/>
  <c r="N146" i="1"/>
  <c r="M146" i="1"/>
  <c r="L146" i="1"/>
  <c r="K146" i="1"/>
  <c r="J146" i="1"/>
  <c r="I146" i="1"/>
  <c r="H146" i="1"/>
  <c r="A146" i="1"/>
  <c r="Q145" i="1"/>
  <c r="M145" i="1"/>
  <c r="J145" i="1"/>
  <c r="A145" i="1"/>
  <c r="A144" i="1"/>
  <c r="P143" i="1"/>
  <c r="O143" i="1"/>
  <c r="N143" i="1"/>
  <c r="K143" i="1"/>
  <c r="I143" i="1"/>
  <c r="A143" i="1"/>
  <c r="P142" i="1"/>
  <c r="O142" i="1"/>
  <c r="N142" i="1"/>
  <c r="K142" i="1"/>
  <c r="I142" i="1"/>
  <c r="A142" i="1"/>
  <c r="P141" i="1"/>
  <c r="O141" i="1"/>
  <c r="N141" i="1"/>
  <c r="K141" i="1"/>
  <c r="I141" i="1"/>
  <c r="F141" i="1"/>
  <c r="A141" i="1"/>
  <c r="A140" i="1"/>
  <c r="A139" i="1"/>
  <c r="P138" i="1"/>
  <c r="O138" i="1"/>
  <c r="N138" i="1"/>
  <c r="K138" i="1"/>
  <c r="I138" i="1"/>
  <c r="A138" i="1"/>
  <c r="P137" i="1"/>
  <c r="O137" i="1"/>
  <c r="N137" i="1"/>
  <c r="K137" i="1"/>
  <c r="I137" i="1"/>
  <c r="A137" i="1"/>
  <c r="P136" i="1"/>
  <c r="O136" i="1"/>
  <c r="N136" i="1"/>
  <c r="K136" i="1"/>
  <c r="I136" i="1"/>
  <c r="A136" i="1"/>
  <c r="P135" i="1"/>
  <c r="O135" i="1"/>
  <c r="N135" i="1"/>
  <c r="K135" i="1"/>
  <c r="I135" i="1"/>
  <c r="A135" i="1"/>
  <c r="A134" i="1"/>
  <c r="A133" i="1"/>
  <c r="P132" i="1"/>
  <c r="O132" i="1"/>
  <c r="N132" i="1"/>
  <c r="K132" i="1"/>
  <c r="I132" i="1"/>
  <c r="A132" i="1"/>
  <c r="P131" i="1"/>
  <c r="O131" i="1"/>
  <c r="N131" i="1"/>
  <c r="K131" i="1"/>
  <c r="I131" i="1"/>
  <c r="A131" i="1"/>
  <c r="A130" i="1"/>
  <c r="A129" i="1"/>
  <c r="I128" i="1"/>
  <c r="F128" i="1"/>
  <c r="A128" i="1"/>
  <c r="I127" i="1"/>
  <c r="F127" i="1"/>
  <c r="A127" i="1"/>
  <c r="I126" i="1"/>
  <c r="F126" i="1"/>
  <c r="A126" i="1"/>
  <c r="I125" i="1"/>
  <c r="F125" i="1"/>
  <c r="A125" i="1"/>
  <c r="P124" i="1"/>
  <c r="O124" i="1"/>
  <c r="N124" i="1"/>
  <c r="K124" i="1"/>
  <c r="I124" i="1"/>
  <c r="A124" i="1"/>
  <c r="P123" i="1"/>
  <c r="O123" i="1"/>
  <c r="N123" i="1"/>
  <c r="K123" i="1"/>
  <c r="I123" i="1"/>
  <c r="A123" i="1"/>
  <c r="P122" i="1"/>
  <c r="O122" i="1"/>
  <c r="N122" i="1"/>
  <c r="K122" i="1"/>
  <c r="I122" i="1"/>
  <c r="A122" i="1"/>
  <c r="P121" i="1"/>
  <c r="O121" i="1"/>
  <c r="N121" i="1"/>
  <c r="K121" i="1"/>
  <c r="I121" i="1"/>
  <c r="A121" i="1"/>
  <c r="P120" i="1"/>
  <c r="O120" i="1"/>
  <c r="N120" i="1"/>
  <c r="K120" i="1"/>
  <c r="I120" i="1"/>
  <c r="A120" i="1"/>
  <c r="A119" i="1"/>
  <c r="A118" i="1"/>
  <c r="P117" i="1"/>
  <c r="O117" i="1"/>
  <c r="N117" i="1"/>
  <c r="K117" i="1"/>
  <c r="I117" i="1"/>
  <c r="A117" i="1"/>
  <c r="P116" i="1"/>
  <c r="O116" i="1"/>
  <c r="N116" i="1"/>
  <c r="K116" i="1"/>
  <c r="I116" i="1"/>
  <c r="A116" i="1"/>
  <c r="P115" i="1"/>
  <c r="O115" i="1"/>
  <c r="N115" i="1"/>
  <c r="K115" i="1"/>
  <c r="I115" i="1"/>
  <c r="A115" i="1"/>
  <c r="A114" i="1"/>
  <c r="A113" i="1"/>
  <c r="P112" i="1"/>
  <c r="O112" i="1"/>
  <c r="N112" i="1"/>
  <c r="K112" i="1"/>
  <c r="I112" i="1"/>
  <c r="F112" i="1"/>
  <c r="A112" i="1"/>
  <c r="I111" i="1"/>
  <c r="F111" i="1"/>
  <c r="A111" i="1"/>
  <c r="I110" i="1"/>
  <c r="F110" i="1"/>
  <c r="A110" i="1"/>
  <c r="I109" i="1"/>
  <c r="F109" i="1"/>
  <c r="A109" i="1"/>
  <c r="I108" i="1"/>
  <c r="F108" i="1"/>
  <c r="A108" i="1"/>
  <c r="P107" i="1"/>
  <c r="O107" i="1"/>
  <c r="N107" i="1"/>
  <c r="K107" i="1"/>
  <c r="I107" i="1"/>
  <c r="A107" i="1"/>
  <c r="I106" i="1"/>
  <c r="F106" i="1"/>
  <c r="A106" i="1"/>
  <c r="I105" i="1"/>
  <c r="F105" i="1"/>
  <c r="A105" i="1"/>
  <c r="I104" i="1"/>
  <c r="F104" i="1"/>
  <c r="A104" i="1"/>
  <c r="I103" i="1"/>
  <c r="F103" i="1"/>
  <c r="A103" i="1"/>
  <c r="P102" i="1"/>
  <c r="O102" i="1"/>
  <c r="N102" i="1"/>
  <c r="K102" i="1"/>
  <c r="I102" i="1"/>
  <c r="A102" i="1"/>
  <c r="A101" i="1"/>
  <c r="A100" i="1"/>
  <c r="P99" i="1"/>
  <c r="O99" i="1"/>
  <c r="N99" i="1"/>
  <c r="K99" i="1"/>
  <c r="I99" i="1"/>
  <c r="F99" i="1"/>
  <c r="A99" i="1"/>
  <c r="P98" i="1"/>
  <c r="O98" i="1"/>
  <c r="N98" i="1"/>
  <c r="K98" i="1"/>
  <c r="I98" i="1"/>
  <c r="F98" i="1"/>
  <c r="A98" i="1"/>
  <c r="P97" i="1"/>
  <c r="O97" i="1"/>
  <c r="N97" i="1"/>
  <c r="K97" i="1"/>
  <c r="I97" i="1"/>
  <c r="F97" i="1"/>
  <c r="A97" i="1"/>
  <c r="P96" i="1"/>
  <c r="O96" i="1"/>
  <c r="N96" i="1"/>
  <c r="K96" i="1"/>
  <c r="I96" i="1"/>
  <c r="F96" i="1"/>
  <c r="A96" i="1"/>
  <c r="I95" i="1"/>
  <c r="F95" i="1"/>
  <c r="A95" i="1"/>
  <c r="I94" i="1"/>
  <c r="F94" i="1"/>
  <c r="A94" i="1"/>
  <c r="I93" i="1"/>
  <c r="F93" i="1"/>
  <c r="A93" i="1"/>
  <c r="I92" i="1"/>
  <c r="F92" i="1"/>
  <c r="A92" i="1"/>
  <c r="P91" i="1"/>
  <c r="O91" i="1"/>
  <c r="N91" i="1"/>
  <c r="K91" i="1"/>
  <c r="I91" i="1"/>
  <c r="A91" i="1"/>
  <c r="I90" i="1"/>
  <c r="F90" i="1"/>
  <c r="A90" i="1"/>
  <c r="I89" i="1"/>
  <c r="F89" i="1"/>
  <c r="A89" i="1"/>
  <c r="I88" i="1"/>
  <c r="F88" i="1"/>
  <c r="A88" i="1"/>
  <c r="I87" i="1"/>
  <c r="F87" i="1"/>
  <c r="A87" i="1"/>
  <c r="P86" i="1"/>
  <c r="O86" i="1"/>
  <c r="N86" i="1"/>
  <c r="K86" i="1"/>
  <c r="I86" i="1"/>
  <c r="A86" i="1"/>
  <c r="A85" i="1"/>
  <c r="A84" i="1"/>
  <c r="P83" i="1"/>
  <c r="O83" i="1"/>
  <c r="N83" i="1"/>
  <c r="K83" i="1"/>
  <c r="I83" i="1"/>
  <c r="F83" i="1"/>
  <c r="A83" i="1"/>
  <c r="P82" i="1"/>
  <c r="O82" i="1"/>
  <c r="N82" i="1"/>
  <c r="K82" i="1"/>
  <c r="I82" i="1"/>
  <c r="F82" i="1"/>
  <c r="A82" i="1"/>
  <c r="P81" i="1"/>
  <c r="O81" i="1"/>
  <c r="N81" i="1"/>
  <c r="K81" i="1"/>
  <c r="I81" i="1"/>
  <c r="F81" i="1"/>
  <c r="A81" i="1"/>
  <c r="P80" i="1"/>
  <c r="O80" i="1"/>
  <c r="N80" i="1"/>
  <c r="K80" i="1"/>
  <c r="I80" i="1"/>
  <c r="F80" i="1"/>
  <c r="A80" i="1"/>
  <c r="I79" i="1"/>
  <c r="F79" i="1"/>
  <c r="A79" i="1"/>
  <c r="I78" i="1"/>
  <c r="F78" i="1"/>
  <c r="A78" i="1"/>
  <c r="I77" i="1"/>
  <c r="F77" i="1"/>
  <c r="A77" i="1"/>
  <c r="I76" i="1"/>
  <c r="F76" i="1"/>
  <c r="A76" i="1"/>
  <c r="P75" i="1"/>
  <c r="O75" i="1"/>
  <c r="N75" i="1"/>
  <c r="K75" i="1"/>
  <c r="I75" i="1"/>
  <c r="A75" i="1"/>
  <c r="I74" i="1"/>
  <c r="F74" i="1"/>
  <c r="A74" i="1"/>
  <c r="I73" i="1"/>
  <c r="F73" i="1"/>
  <c r="A73" i="1"/>
  <c r="I72" i="1"/>
  <c r="F72" i="1"/>
  <c r="A72" i="1"/>
  <c r="I71" i="1"/>
  <c r="F71" i="1"/>
  <c r="A71" i="1"/>
  <c r="P70" i="1"/>
  <c r="O70" i="1"/>
  <c r="N70" i="1"/>
  <c r="K70" i="1"/>
  <c r="I70" i="1"/>
  <c r="A70" i="1"/>
  <c r="A69" i="1"/>
  <c r="A68" i="1"/>
  <c r="P67" i="1"/>
  <c r="O67" i="1"/>
  <c r="N67" i="1"/>
  <c r="K67" i="1"/>
  <c r="I67" i="1"/>
  <c r="F67" i="1"/>
  <c r="A67" i="1"/>
  <c r="P66" i="1"/>
  <c r="O66" i="1"/>
  <c r="N66" i="1"/>
  <c r="K66" i="1"/>
  <c r="I66" i="1"/>
  <c r="F66" i="1"/>
  <c r="A66" i="1"/>
  <c r="P65" i="1"/>
  <c r="O65" i="1"/>
  <c r="N65" i="1"/>
  <c r="K65" i="1"/>
  <c r="I65" i="1"/>
  <c r="F65" i="1"/>
  <c r="A65" i="1"/>
  <c r="P64" i="1"/>
  <c r="O64" i="1"/>
  <c r="N64" i="1"/>
  <c r="K64" i="1"/>
  <c r="I64" i="1"/>
  <c r="F64" i="1"/>
  <c r="A64" i="1"/>
  <c r="I63" i="1"/>
  <c r="F63" i="1"/>
  <c r="A63" i="1"/>
  <c r="I62" i="1"/>
  <c r="F62" i="1"/>
  <c r="A62" i="1"/>
  <c r="I61" i="1"/>
  <c r="F61" i="1"/>
  <c r="A61" i="1"/>
  <c r="I60" i="1"/>
  <c r="F60" i="1"/>
  <c r="A60" i="1"/>
  <c r="P59" i="1"/>
  <c r="O59" i="1"/>
  <c r="N59" i="1"/>
  <c r="K59" i="1"/>
  <c r="I59" i="1"/>
  <c r="A59" i="1"/>
  <c r="I58" i="1"/>
  <c r="F58" i="1"/>
  <c r="A58" i="1"/>
  <c r="I57" i="1"/>
  <c r="F57" i="1"/>
  <c r="A57" i="1"/>
  <c r="I56" i="1"/>
  <c r="F56" i="1"/>
  <c r="A56" i="1"/>
  <c r="I55" i="1"/>
  <c r="F55" i="1"/>
  <c r="A55" i="1"/>
  <c r="P54" i="1"/>
  <c r="O54" i="1"/>
  <c r="N54" i="1"/>
  <c r="K54" i="1"/>
  <c r="I54" i="1"/>
  <c r="A54" i="1"/>
  <c r="A53" i="1"/>
  <c r="A52" i="1"/>
  <c r="A51" i="1"/>
  <c r="P50" i="1"/>
  <c r="O50" i="1"/>
  <c r="N50" i="1"/>
  <c r="M50" i="1"/>
  <c r="L50" i="1"/>
  <c r="K50" i="1"/>
  <c r="J50" i="1"/>
  <c r="I50" i="1"/>
  <c r="H50" i="1"/>
  <c r="A50" i="1"/>
  <c r="Q49" i="1"/>
  <c r="M49" i="1"/>
  <c r="J49" i="1"/>
  <c r="A49" i="1"/>
  <c r="A48" i="1"/>
  <c r="P47" i="1"/>
  <c r="O47" i="1"/>
  <c r="N47" i="1"/>
  <c r="K47" i="1"/>
  <c r="I47" i="1"/>
  <c r="A47" i="1"/>
  <c r="A46" i="1"/>
  <c r="A45" i="1"/>
  <c r="P44" i="1"/>
  <c r="O44" i="1"/>
  <c r="N44" i="1"/>
  <c r="K44" i="1"/>
  <c r="I44" i="1"/>
  <c r="A44" i="1"/>
  <c r="A43" i="1"/>
  <c r="A42" i="1"/>
  <c r="P41" i="1"/>
  <c r="O41" i="1"/>
  <c r="N41" i="1"/>
  <c r="K41" i="1"/>
  <c r="I41" i="1"/>
  <c r="A41" i="1"/>
  <c r="A40" i="1"/>
  <c r="A39" i="1"/>
  <c r="P38" i="1"/>
  <c r="O38" i="1"/>
  <c r="N38" i="1"/>
  <c r="M38" i="1"/>
  <c r="L38" i="1"/>
  <c r="K38" i="1"/>
  <c r="J38" i="1"/>
  <c r="I38" i="1"/>
  <c r="H38" i="1"/>
  <c r="A38" i="1"/>
  <c r="Q37" i="1"/>
  <c r="M37" i="1"/>
  <c r="J37" i="1"/>
  <c r="A37" i="1"/>
  <c r="A36" i="1"/>
  <c r="P35" i="1"/>
  <c r="O35" i="1"/>
  <c r="N35" i="1"/>
  <c r="K35" i="1"/>
  <c r="I35" i="1"/>
  <c r="A35" i="1"/>
  <c r="P34" i="1"/>
  <c r="O34" i="1"/>
  <c r="N34" i="1"/>
  <c r="K34" i="1"/>
  <c r="I34" i="1"/>
  <c r="A34" i="1"/>
  <c r="A33" i="1"/>
  <c r="A32" i="1"/>
  <c r="P31" i="1"/>
  <c r="O31" i="1"/>
  <c r="N31" i="1"/>
  <c r="K31" i="1"/>
  <c r="I31" i="1"/>
  <c r="A31" i="1"/>
  <c r="A30" i="1"/>
  <c r="A29" i="1"/>
  <c r="P28" i="1"/>
  <c r="O28" i="1"/>
  <c r="N28" i="1"/>
  <c r="M28" i="1"/>
  <c r="L28" i="1"/>
  <c r="K28" i="1"/>
  <c r="J28" i="1"/>
  <c r="I28" i="1"/>
  <c r="H28" i="1"/>
  <c r="A28" i="1"/>
  <c r="Q27" i="1"/>
  <c r="M27" i="1"/>
  <c r="J27" i="1"/>
  <c r="A27" i="1"/>
  <c r="A26" i="1"/>
  <c r="P25" i="1"/>
  <c r="O25" i="1"/>
  <c r="N25" i="1"/>
  <c r="K25" i="1"/>
  <c r="I25" i="1"/>
  <c r="A25" i="1"/>
  <c r="P24" i="1"/>
  <c r="O24" i="1"/>
  <c r="N24" i="1"/>
  <c r="K24" i="1"/>
  <c r="I24" i="1"/>
  <c r="A24" i="1"/>
  <c r="P23" i="1"/>
  <c r="O23" i="1"/>
  <c r="N23" i="1"/>
  <c r="K23" i="1"/>
  <c r="I23" i="1"/>
  <c r="A23" i="1"/>
  <c r="P22" i="1"/>
  <c r="O22" i="1"/>
  <c r="N22" i="1"/>
  <c r="K22" i="1"/>
  <c r="I22" i="1"/>
  <c r="A22" i="1"/>
  <c r="P21" i="1"/>
  <c r="O21" i="1"/>
  <c r="N21" i="1"/>
  <c r="K21" i="1"/>
  <c r="I21" i="1"/>
  <c r="A21" i="1"/>
  <c r="P20" i="1"/>
  <c r="O20" i="1"/>
  <c r="N20" i="1"/>
  <c r="K20" i="1"/>
  <c r="I20" i="1"/>
  <c r="A20" i="1"/>
  <c r="P19" i="1"/>
  <c r="O19" i="1"/>
  <c r="N19" i="1"/>
  <c r="K19" i="1"/>
  <c r="I19" i="1"/>
  <c r="A19" i="1"/>
  <c r="P18" i="1"/>
  <c r="O18" i="1"/>
  <c r="N18" i="1"/>
  <c r="K18" i="1"/>
  <c r="I18" i="1"/>
  <c r="A18" i="1"/>
  <c r="P17" i="1"/>
  <c r="O17" i="1"/>
  <c r="N17" i="1"/>
  <c r="K17" i="1"/>
  <c r="I17" i="1"/>
  <c r="A17" i="1"/>
  <c r="P16" i="1"/>
  <c r="O16" i="1"/>
  <c r="N16" i="1"/>
  <c r="K16" i="1"/>
  <c r="I16" i="1"/>
  <c r="A16" i="1"/>
  <c r="P15" i="1"/>
  <c r="O15" i="1"/>
  <c r="N15" i="1"/>
  <c r="K15" i="1"/>
  <c r="I15" i="1"/>
  <c r="A15" i="1"/>
  <c r="P14" i="1"/>
  <c r="O14" i="1"/>
  <c r="N14" i="1"/>
  <c r="K14" i="1"/>
  <c r="I14" i="1"/>
  <c r="A14" i="1"/>
  <c r="P13" i="1"/>
  <c r="O13" i="1"/>
  <c r="N13" i="1"/>
  <c r="K13" i="1"/>
  <c r="I13" i="1"/>
  <c r="A13" i="1"/>
  <c r="P12" i="1"/>
  <c r="O12" i="1"/>
  <c r="N12" i="1"/>
  <c r="K12" i="1"/>
  <c r="I12" i="1"/>
  <c r="A12" i="1"/>
  <c r="P11" i="1"/>
  <c r="O11" i="1"/>
  <c r="N11" i="1"/>
  <c r="K11" i="1"/>
  <c r="I11" i="1"/>
  <c r="A11" i="1"/>
  <c r="P10" i="1"/>
  <c r="O10" i="1"/>
  <c r="N10" i="1"/>
  <c r="K10" i="1"/>
  <c r="I10" i="1"/>
  <c r="A10" i="1"/>
  <c r="A9" i="1"/>
  <c r="A8" i="1"/>
  <c r="L7" i="1"/>
  <c r="O5" i="1"/>
  <c r="O4" i="1"/>
  <c r="O3" i="1"/>
  <c r="O2" i="1"/>
  <c r="O1" i="1"/>
  <c r="E44" i="2"/>
  <c r="E42" i="2"/>
  <c r="E31" i="2"/>
  <c r="E30" i="2"/>
  <c r="E29" i="2"/>
  <c r="L28" i="2"/>
  <c r="E28" i="2"/>
  <c r="E27" i="2"/>
  <c r="E26" i="2"/>
  <c r="E25" i="2"/>
  <c r="L24" i="2"/>
  <c r="L23" i="2"/>
  <c r="E23" i="2"/>
  <c r="L22" i="2"/>
  <c r="E22" i="2"/>
  <c r="L18" i="2"/>
  <c r="K18" i="2"/>
  <c r="J18" i="2"/>
  <c r="I18" i="2"/>
  <c r="H18" i="2"/>
  <c r="G18" i="2"/>
  <c r="F18" i="2"/>
  <c r="E18" i="2"/>
  <c r="D18" i="2"/>
  <c r="L16" i="2"/>
  <c r="K16" i="2"/>
  <c r="J16" i="2"/>
  <c r="I16" i="2"/>
  <c r="H16" i="2"/>
  <c r="G16" i="2"/>
  <c r="F16" i="2"/>
  <c r="E16" i="2"/>
  <c r="D16" i="2"/>
  <c r="C16" i="2"/>
  <c r="B16" i="2"/>
  <c r="L15" i="2"/>
  <c r="K15" i="2"/>
  <c r="J15" i="2"/>
  <c r="I15" i="2"/>
  <c r="H15" i="2"/>
  <c r="G15" i="2"/>
  <c r="F15" i="2"/>
  <c r="E15" i="2"/>
  <c r="D15" i="2"/>
  <c r="C15" i="2"/>
  <c r="B15" i="2"/>
  <c r="L14" i="2"/>
  <c r="K14" i="2"/>
  <c r="J14" i="2"/>
  <c r="I14" i="2"/>
  <c r="H14" i="2"/>
  <c r="G14" i="2"/>
  <c r="F14" i="2"/>
  <c r="E14" i="2"/>
  <c r="D14" i="2"/>
  <c r="C14" i="2"/>
  <c r="B14" i="2"/>
  <c r="L13" i="2"/>
  <c r="K13" i="2"/>
  <c r="J13" i="2"/>
  <c r="I13" i="2"/>
  <c r="H13" i="2"/>
  <c r="G13" i="2"/>
  <c r="F13" i="2"/>
  <c r="E13" i="2"/>
  <c r="D13" i="2"/>
  <c r="C13" i="2"/>
  <c r="B13" i="2"/>
  <c r="L12" i="2"/>
  <c r="K12" i="2"/>
  <c r="J12" i="2"/>
  <c r="I12" i="2"/>
  <c r="H12" i="2"/>
  <c r="G12" i="2"/>
  <c r="F12" i="2"/>
  <c r="E12" i="2"/>
  <c r="D12" i="2"/>
  <c r="C12" i="2"/>
  <c r="B12" i="2"/>
  <c r="L11" i="2"/>
  <c r="K11" i="2"/>
  <c r="J11" i="2"/>
  <c r="I11" i="2"/>
  <c r="H11" i="2"/>
  <c r="G11" i="2"/>
  <c r="F11" i="2"/>
  <c r="E11" i="2"/>
  <c r="D11" i="2"/>
  <c r="C11" i="2"/>
  <c r="B11" i="2"/>
  <c r="L10" i="2"/>
  <c r="K10" i="2"/>
  <c r="J10" i="2"/>
  <c r="I10" i="2"/>
  <c r="H10" i="2"/>
  <c r="G10" i="2"/>
  <c r="F10" i="2"/>
  <c r="E10" i="2"/>
  <c r="D10" i="2"/>
  <c r="C10" i="2"/>
  <c r="B10" i="2"/>
  <c r="L9" i="2"/>
  <c r="K9" i="2"/>
  <c r="J9" i="2"/>
  <c r="I9" i="2"/>
  <c r="H9" i="2"/>
  <c r="G9" i="2"/>
  <c r="F9" i="2"/>
  <c r="E9" i="2"/>
  <c r="D9" i="2"/>
  <c r="C9" i="2"/>
  <c r="B9" i="2"/>
  <c r="L8" i="2"/>
  <c r="K8" i="2"/>
  <c r="J8" i="2"/>
  <c r="I8" i="2"/>
  <c r="H8" i="2"/>
  <c r="G8" i="2"/>
  <c r="F8" i="2"/>
  <c r="E8" i="2"/>
  <c r="D8" i="2"/>
  <c r="C8" i="2"/>
  <c r="B8" i="2"/>
  <c r="L7" i="2"/>
  <c r="K7" i="2"/>
  <c r="J7" i="2"/>
  <c r="I7" i="2"/>
  <c r="H7" i="2"/>
  <c r="G7" i="2"/>
  <c r="F7" i="2"/>
  <c r="E7" i="2"/>
  <c r="D7" i="2"/>
  <c r="C7" i="2"/>
  <c r="B7" i="2"/>
  <c r="L6" i="2"/>
  <c r="K6" i="2"/>
  <c r="J6" i="2"/>
  <c r="I6" i="2"/>
  <c r="H6" i="2"/>
  <c r="G6" i="2"/>
  <c r="F6" i="2"/>
  <c r="E6" i="2"/>
  <c r="D6" i="2"/>
  <c r="C6" i="2"/>
  <c r="B6" i="2"/>
  <c r="C5" i="2"/>
  <c r="A1" i="2"/>
</calcChain>
</file>

<file path=xl/sharedStrings.xml><?xml version="1.0" encoding="utf-8"?>
<sst xmlns="http://schemas.openxmlformats.org/spreadsheetml/2006/main" count="871" uniqueCount="444">
  <si>
    <t>BID RECAP</t>
  </si>
  <si>
    <t>DIVISION</t>
  </si>
  <si>
    <t>DESCRIPTION</t>
  </si>
  <si>
    <t>MATERIAL COST</t>
  </si>
  <si>
    <t>LABOR COST</t>
  </si>
  <si>
    <t>MATERIAL TAX</t>
  </si>
  <si>
    <t>LABOR TAX</t>
  </si>
  <si>
    <t>TOTAL COST</t>
  </si>
  <si>
    <t>OVERHEADS</t>
  </si>
  <si>
    <t>PROFIT</t>
  </si>
  <si>
    <t>ADDITIONAL COST (If Any)</t>
  </si>
  <si>
    <t>TOTAL PRICE</t>
  </si>
  <si>
    <t>COST/ SF</t>
  </si>
  <si>
    <t>TOTALS</t>
  </si>
  <si>
    <t>BID SUMMARY</t>
  </si>
  <si>
    <t>MAN-LOADING AND SUPERVISION ANALYSIS</t>
  </si>
  <si>
    <t>TOTAL MATERIAL COST</t>
  </si>
  <si>
    <t>TOTAL MANHOURS WITH SUPERVISION</t>
  </si>
  <si>
    <t>MATERIAL SALES TAX</t>
  </si>
  <si>
    <t>NUMBER OF MAN-DAYS</t>
  </si>
  <si>
    <t>JOB EXPENSE</t>
  </si>
  <si>
    <t>MAN LOAD</t>
  </si>
  <si>
    <t>TOTAL LABOR COST</t>
  </si>
  <si>
    <t>JOURNEYMAN RATE</t>
  </si>
  <si>
    <t>SUPERVISOR RATE</t>
  </si>
  <si>
    <t>UNSKILLED LABOR RATE</t>
  </si>
  <si>
    <t>OVERHEADS @</t>
  </si>
  <si>
    <t>COMPOSITE LABOR RATE</t>
  </si>
  <si>
    <t>PROFIT @</t>
  </si>
  <si>
    <t>WAGE RATE</t>
  </si>
  <si>
    <t>TOTAL COST W/ OVERHEADS + PROFIT</t>
  </si>
  <si>
    <t>BOND &amp; INSURANCE</t>
  </si>
  <si>
    <t>INSERT VALUES IN YELLOW HIGHLIGHTED CELLS WHERE APPLICABLE</t>
  </si>
  <si>
    <t>PROJECT SUPERVISION &amp; PROJECT MANAGEMENT</t>
  </si>
  <si>
    <t>SUBMITTALS, SAMPLES, SHOP DRAWINGS, SITE SAFETY PLAN, ETC.</t>
  </si>
  <si>
    <t>TEMPORARY FACILITIES &amp; CONTROLS</t>
  </si>
  <si>
    <t>PROJECT SCHEDULE (Primavera P3 or P6)</t>
  </si>
  <si>
    <t>OFFICE OVERHEADS</t>
  </si>
  <si>
    <t>CLOSEOUT PROCEDURES</t>
  </si>
  <si>
    <t>PERMITS</t>
  </si>
  <si>
    <t>ALLOWANCES</t>
  </si>
  <si>
    <t>MOBILIZATION / DEMOBILIZATION</t>
  </si>
  <si>
    <t>SUB-CONTRACTS</t>
  </si>
  <si>
    <t>BOND PREMIUM</t>
  </si>
  <si>
    <t>BASE BID PRICE</t>
  </si>
  <si>
    <t>JUICI PATTIES</t>
  </si>
  <si>
    <t>PROJECT COST</t>
  </si>
  <si>
    <t>1385 Metropolitan Avenue, Bronx, NY 10462</t>
  </si>
  <si>
    <t>OVERHEAD COST</t>
  </si>
  <si>
    <t>Project Scope:</t>
  </si>
  <si>
    <t>GC SCOPE</t>
  </si>
  <si>
    <t>PROFIT COST</t>
  </si>
  <si>
    <t>Addendum:</t>
  </si>
  <si>
    <t>N/A</t>
  </si>
  <si>
    <t>Date:</t>
  </si>
  <si>
    <t>TOTAL BID COST</t>
  </si>
  <si>
    <t>SR.
NO.</t>
  </si>
  <si>
    <t>DWG. NO.</t>
  </si>
  <si>
    <t>DETAIL NO.</t>
  </si>
  <si>
    <t>CSI NO.</t>
  </si>
  <si>
    <t>QUANTITY</t>
  </si>
  <si>
    <t>UNIT</t>
  </si>
  <si>
    <t>WASTAGE %</t>
  </si>
  <si>
    <t>QTY W/
WASTAGE</t>
  </si>
  <si>
    <t>UNIT MATERIAL
COST</t>
  </si>
  <si>
    <t>MATERIAL 
COST</t>
  </si>
  <si>
    <t>MAN HOUR RATE</t>
  </si>
  <si>
    <t>UNIT MANHOURS</t>
  </si>
  <si>
    <t>UNIT LABOR COST</t>
  </si>
  <si>
    <t>TOTAL
COST</t>
  </si>
  <si>
    <t>FACILITY CONSTRUCTION SUBGROUP WORK</t>
  </si>
  <si>
    <t>02 00 00</t>
  </si>
  <si>
    <t>EXISTING CONDITIONS</t>
  </si>
  <si>
    <t>DEMOLITION</t>
  </si>
  <si>
    <t>Demolition of Existing ACT Ceiling &amp; Lighting Fixtures</t>
  </si>
  <si>
    <t>SF</t>
  </si>
  <si>
    <t>Demolition of Existing Ceiling &amp; Light Fixtures</t>
  </si>
  <si>
    <t>Demolition of Existing Drywall Soffit</t>
  </si>
  <si>
    <t>Demolition of Existing Light Fixtures</t>
  </si>
  <si>
    <t>Demolition of Existing Wall</t>
  </si>
  <si>
    <t>Demolition of Existing Wall Finishes</t>
  </si>
  <si>
    <t>Demolition of Existing Header</t>
  </si>
  <si>
    <t>LF</t>
  </si>
  <si>
    <t>Remove Existing Millwork</t>
  </si>
  <si>
    <t>Cap &amp; Seal Any Neccessary Plumbing Lines not being reused</t>
  </si>
  <si>
    <t>EA</t>
  </si>
  <si>
    <t>Demolition of Existing Window</t>
  </si>
  <si>
    <t>Demolition of Wall Shelving</t>
  </si>
  <si>
    <t>Removal of Existing Door, Frame &amp; Hardware</t>
  </si>
  <si>
    <t>Removal of Existing Kitchen Equipment</t>
  </si>
  <si>
    <t>Remove Existing Combo Exit Sign/Emergency Light</t>
  </si>
  <si>
    <t>Remove Existing Sink</t>
  </si>
  <si>
    <t>Salvage Existing Door &amp; Hardware For Reuse</t>
  </si>
  <si>
    <t>SUBTOTAL MATERIAL</t>
  </si>
  <si>
    <t>SUBTOTAL LABOR</t>
  </si>
  <si>
    <t>06 00 00</t>
  </si>
  <si>
    <t>WOOD, PLASTICS, AND COMPOSITES MANUFACTURERS</t>
  </si>
  <si>
    <t>BLOCKING</t>
  </si>
  <si>
    <t>2" X 4" Blocking For TV</t>
  </si>
  <si>
    <t>MILLWORK</t>
  </si>
  <si>
    <t>2'-2" Deep Base Cabinetry</t>
  </si>
  <si>
    <t>3'-0" Deep Base Cabinetry</t>
  </si>
  <si>
    <t>08 00 00</t>
  </si>
  <si>
    <t>OPENINGS</t>
  </si>
  <si>
    <t>DOORS</t>
  </si>
  <si>
    <t>3'-0" X 7'-0" X 1" Hollow Metal Door With Frame</t>
  </si>
  <si>
    <t>DOOR HARDWARES</t>
  </si>
  <si>
    <t>Door Hardware Set
Eliason P11 Easy Swing Hinge System
Closer
Vision Lite
Ss Push Plate
Double Action Door</t>
  </si>
  <si>
    <t>WINDOWS</t>
  </si>
  <si>
    <t>2'-0" X 4'-0" Aluminium Framed Tempered Glass Fixed Window</t>
  </si>
  <si>
    <t>09 00 00</t>
  </si>
  <si>
    <t>FINISHES</t>
  </si>
  <si>
    <t>DRYWALL</t>
  </si>
  <si>
    <t>Drywall: 4</t>
  </si>
  <si>
    <t>5/8" Gypsum Board</t>
  </si>
  <si>
    <t>4x8 No of  Sheets</t>
  </si>
  <si>
    <t>Drywall Screws</t>
  </si>
  <si>
    <t>Tape Joints</t>
  </si>
  <si>
    <t>Mudding</t>
  </si>
  <si>
    <t>Lbs</t>
  </si>
  <si>
    <t>5/8" Purple Gypsum Board</t>
  </si>
  <si>
    <t>3-5/8" 25 GA. Metal Stud @ 16" O.C.</t>
  </si>
  <si>
    <t>3-5/8" Top Plate &amp; Bottom Plate</t>
  </si>
  <si>
    <t>3-5/8" Mid Span Blocking</t>
  </si>
  <si>
    <t>Sealant</t>
  </si>
  <si>
    <t>Drywall: 5</t>
  </si>
  <si>
    <t>Drywall: 6</t>
  </si>
  <si>
    <t>Drywall: 7</t>
  </si>
  <si>
    <t>WALL BASE &amp; TRIMS</t>
  </si>
  <si>
    <t>Tag: B-02, Quarry Tile Base, Tile Bar, Marbella, Perla, Matte, 3" X 24"</t>
  </si>
  <si>
    <t>Tag: SCH-01, Schluter System, Quadec, Stainless Steel, Brushed</t>
  </si>
  <si>
    <t>Door Trims</t>
  </si>
  <si>
    <t>CEILING</t>
  </si>
  <si>
    <t>Tag: ACT-1
DIM: 24" x 24'"
MANUFACTURER: AMSTRONG
TYPE: ULTIMA SQUARE REGULAR
ITEM NUMBER: 1912
COLOR: WHITE
W/ PRELUDE SUSPENSION SYSTEM 15/16" EXPOSED TEE SYSTEM</t>
  </si>
  <si>
    <t>Tag: ACT-2
DIM: 24" x 48"
MANUFACTURER: AMSTRONG
TYPE: CLEAN ROOM VL
ITEM NUMBER: 870
COLOR: WHITE
W/ PRELUDE SUSPENSION SYSTEM 15/16" EXPOSED TEE SYSTEM</t>
  </si>
  <si>
    <t>Tag: SC-1
2x4 LAMINATED MDF-UL
MANUFACTURER: FC DADSON
COLOR SELECTION BY CUSTOMER
NOTE: LAMINATE SIDES AND BOTTOM, PAINT TOP AND ENDS</t>
  </si>
  <si>
    <t>Tag: CSI-1, Yellow Decorative Ceiling Strips, 1" X 3" WPP</t>
  </si>
  <si>
    <t>5/8" Gypsum Board Ceiling &amp; Soffit</t>
  </si>
  <si>
    <t>CEILING FINISH</t>
  </si>
  <si>
    <t>Paint on Exposed Structure, PNT-05, Sherwin Williams, Dryfall, Black</t>
  </si>
  <si>
    <t>Paint on Gypsum Board Ceiling, PNT-02, Sherwin Williams, Sealskin, SW7675, Flat</t>
  </si>
  <si>
    <t>WALL FINISH</t>
  </si>
  <si>
    <t>Tag: FRP-01, FRP Panels, Crane Composites, Glasbord, White 85, Embossed</t>
  </si>
  <si>
    <t>Tag: PNT-01, Sherwin Williams, Accessible Beige, SW7036, Satin</t>
  </si>
  <si>
    <t>Tag: WT-01, Wall Tile, Tile Bar, Ceramic Subway Wall Tile, Basic White, Polished, 3" X 6"</t>
  </si>
  <si>
    <t>Tag: WT-02, Wall Tile, Tile Bar, Montana Porcelain, Cherry, 8" X 45"</t>
  </si>
  <si>
    <t>MISC. FINISH</t>
  </si>
  <si>
    <t>Paint on Door Trim</t>
  </si>
  <si>
    <t>Paint on Existing Single Leaf Door, Semi Gloss Finish</t>
  </si>
  <si>
    <t>Paint on Single Leaf Door</t>
  </si>
  <si>
    <t>10 00 00</t>
  </si>
  <si>
    <t>SPECIALTIES</t>
  </si>
  <si>
    <t>CG-01, Corner Guard, Inpro Corporation, Stainless Steel</t>
  </si>
  <si>
    <t>CG-02, End Cap, Inpro Corporation, Stainless Steel</t>
  </si>
  <si>
    <t>Wall Signage, DIM: " Juice Fresh ", 36" H X 60" L</t>
  </si>
  <si>
    <t>Wall Signage, DIM: " Juici Patties Circle Logo "</t>
  </si>
  <si>
    <t>Wall Signage, DIM: " Mural Artwork &amp; QR Code "</t>
  </si>
  <si>
    <t>Wall Signage, DIM: " Serious Jamaican Food ", 36" H X 60" L</t>
  </si>
  <si>
    <t>BATH ACCESSORIES</t>
  </si>
  <si>
    <t>Soap Dispenser, Manufacturer: Bobrick, Model No: B-2111</t>
  </si>
  <si>
    <t>Toilet Tissue Dispenser, Manufacturer: Bobrick, Model No: B-4288</t>
  </si>
  <si>
    <t>Paper Towel Dispenser, Manufacturer: Bobrick, Model No: B-262</t>
  </si>
  <si>
    <t>11 00 00</t>
  </si>
  <si>
    <t>EQUIPMENTS</t>
  </si>
  <si>
    <t>Point-Of-Sale Systems, Model No: Toast Pos</t>
  </si>
  <si>
    <t>Work Table, Cabinet Base Open Front, Manufacturer: Bk Resources, Model No: Cst-2460</t>
  </si>
  <si>
    <t>Disposable Cup Dispenser, Manufacturer: Diversified Metal Products, Inc., Model No: Slr-S-3Bt</t>
  </si>
  <si>
    <t>Trash Receptacle, Indoor, Manufacturer: Winco, Model No: Ptc-23K</t>
  </si>
  <si>
    <t>Sandwich Prep Refrigerator, Manufacturer: Beverage-Air, Model No: Spe27Hc-12M</t>
  </si>
  <si>
    <t>Reach-In Refrigerator, Manufacturer: Asber, Model No: Arr-23-Ig-H</t>
  </si>
  <si>
    <t>Work Table, W/ Hand Sink, Manufacturer: Klingers, Model No: Stb3048Br</t>
  </si>
  <si>
    <t>Work Table, W/ Prep Sink, Manufacturer: Bk Resources, Model No: Stb3060Br</t>
  </si>
  <si>
    <t>Deck Mount Faucet, Manufacturer: Bk Resources, Model No: Bkd-5G-G</t>
  </si>
  <si>
    <t>Mobile Heated Cabinet, Manufacturer: Henny Penny, Model No: Hhc 900</t>
  </si>
  <si>
    <t>Pass Thru Window, Manufacturer: Custom, Model No: Custom</t>
  </si>
  <si>
    <t>Heat Lamp, Manufacturer: Hatco, Model No: Uga-30</t>
  </si>
  <si>
    <t>Stainless Steel Table, Manufacturer: Bk Resources, Model No: Cvtob-6030</t>
  </si>
  <si>
    <t>Shelving, Wall Mounted, Manufacturer: Channel Manufacturing, Inc., Model No: Tws1236</t>
  </si>
  <si>
    <t>Stainless Steel Table, Manufacturer: Bk Resources, Model No: Cvt-4830</t>
  </si>
  <si>
    <t>3 Door Reachin Freezer, Manufacturer: True, Model No: T-72F-Hc</t>
  </si>
  <si>
    <t>2 Door Reachin Freezer, Manufacturer: Migali, Model No: C-2F-Hc</t>
  </si>
  <si>
    <t>Combi Oven Pro - Half Size, Manufacturer: Rational, Model No: Cb2Erra.0000249, Double Stack W/ Stand</t>
  </si>
  <si>
    <t>Ventless Hood, Manufacturer: Rational, Model No: 60.76.179, Ultra Vent</t>
  </si>
  <si>
    <t>Overshelf, Manufacturer: Bk Resources, Model No: Bk-Osd-1260</t>
  </si>
  <si>
    <t>Reach-In Glass Door Freezer, Manufacturer: Migali, Model No: C-2Fg-Hc</t>
  </si>
  <si>
    <t>Reach-In Refrigerator, Manufacturer: Migali, Model No: C-2Rb-Hc</t>
  </si>
  <si>
    <t>Wall Mounted Hand Sink, Manufacturer: Advance Tabco, Model No: 7-Ps-23-Ec-Sp-1X</t>
  </si>
  <si>
    <t>Shelving, Wall Mounted, Manufacturer: Channel Manufacturing, Inc., Model No: Tws1260</t>
  </si>
  <si>
    <t>Shelving, Wall Mounted, Manufacturer: Channel Manufacturing, Inc., Model No: Tws1836</t>
  </si>
  <si>
    <t>Mop Broom Holder, Manufacturer: John Boos, Model No: Pb-Mh-3</t>
  </si>
  <si>
    <t>Storage Shelving, Manufacturer: Quantum Storage Systems, Model No: Wr74-2066Gy, 20" X 66" With 74" Posts</t>
  </si>
  <si>
    <t>Storage Shelving, Manufacturer: Quantum Storage Systems, Model No: Wr74-2448Gy, 24" X 48" With 74" Posts</t>
  </si>
  <si>
    <t>Storage Shelving, Manufacturer: Quantum Storage Systems, Model No: Wr74-2454Gy, 24" X 54" With 74" Posts</t>
  </si>
  <si>
    <t>Soda Beverage Dispenser, Free Standing, Manufacturer: Follet, Model No: Vu300 Series</t>
  </si>
  <si>
    <t>Simplicity Bubbler Mini Quad, Manufacturer: Crathco, Model No: Cd4E-16</t>
  </si>
  <si>
    <t>Ice Maker, Cube-Style, Manufacturer: Hoshizaki, Model No: Kmd-410M  J</t>
  </si>
  <si>
    <t>Water Filtration System, For Ice Machines, Manufacturer: Hoshizaki, Model No: Hdi-11</t>
  </si>
  <si>
    <t>Work Table, Cabinet Base Hinged Doors (Custom), Manufacturer: Bk Resources, Model No: Cst-3648Hl</t>
  </si>
  <si>
    <t>Work Table, Cabinet Base Hinged Doors (Custom), Manufacturer: Bk Resources, Model No: Cst-3660Hl</t>
  </si>
  <si>
    <t>Condiment Caddy, Manufacturer: Diversified Metal Products, Inc., Model No: Nslc-1Bt</t>
  </si>
  <si>
    <t>Condiment Caddy, Manufacturer: Diversified Metal Products, Inc., Model No: Wls-1</t>
  </si>
  <si>
    <t>Flatware Holder, Cylinder Holder / Dispenser, Manufacturer: Diversified Metal Products, Inc., Model No: Ctsh-6Bt</t>
  </si>
  <si>
    <t>45" Tv Menu Board W/ Mounting Brackets</t>
  </si>
  <si>
    <t>Microwave, Manufacturer: Solwave Ameri Series, Model No: 180Was 18T</t>
  </si>
  <si>
    <t>Microwave Stand, Manufacturer: Refgency, Model No: 600Ms2424</t>
  </si>
  <si>
    <t>Warmer Oven, Manufacturer: Manstreet, Model No: Chp-1836 U</t>
  </si>
  <si>
    <t>12 00 00</t>
  </si>
  <si>
    <t>FURNISHINGS</t>
  </si>
  <si>
    <t>COUNTERTOP</t>
  </si>
  <si>
    <t>Soild Surface Countertop, Silestone, Quartz, Biaco Maple</t>
  </si>
  <si>
    <t>FURNITURE</t>
  </si>
  <si>
    <t>High Chair, Manufacturer: Narsi, Model No: Faro 40346</t>
  </si>
  <si>
    <t>Counter, Manufacturer: Custom, 7’-11" X 1’-6"  &amp; 6'-4" X 1’-6"</t>
  </si>
  <si>
    <t>Office Desk</t>
  </si>
  <si>
    <t>Office Chair</t>
  </si>
  <si>
    <t>22 00 00</t>
  </si>
  <si>
    <t>PLUMBING</t>
  </si>
  <si>
    <t>Plumbing Pipings</t>
  </si>
  <si>
    <t>2" Dia Grease Sanitary Waste Pipe Via Underground</t>
  </si>
  <si>
    <t>3" Dia Grease Sanitary Waste Pipe Via Underground</t>
  </si>
  <si>
    <t>4" Dia Grease Sanitary Waste Pipe Via Underground</t>
  </si>
  <si>
    <t>2" Dia Grease Sanitary Waste Riser Pipe</t>
  </si>
  <si>
    <t>3" Dia Grease Sanitary Waste Riser Pipe</t>
  </si>
  <si>
    <t>2" Dia Vent Pipe</t>
  </si>
  <si>
    <t>2" Dia Vent Riser Pipe</t>
  </si>
  <si>
    <t>3" Dia Vent Pipe</t>
  </si>
  <si>
    <t>1/2" Dia Cold Water Pipe</t>
  </si>
  <si>
    <t>3/4" Dia Cold Water Pipe</t>
  </si>
  <si>
    <t>1" Dia Cold Water Pipe</t>
  </si>
  <si>
    <t>1/2" Dia Cold Water Riser Pipe</t>
  </si>
  <si>
    <t>3/4" Dia Cold Water Riser Pipe</t>
  </si>
  <si>
    <t>1" Dia Cold Water Riser Pipe</t>
  </si>
  <si>
    <t>1/2" Dia Hot Water Pipe</t>
  </si>
  <si>
    <t>3/4" Dia Hot Water Pipe</t>
  </si>
  <si>
    <t>1" Dia Hot Water Pipe</t>
  </si>
  <si>
    <t>1/2" Dia Hot Water Riser Pipe</t>
  </si>
  <si>
    <t>1/2" Dia Hot Water Return Pipe</t>
  </si>
  <si>
    <t>3/4" Dia Hot Water Return Pipe</t>
  </si>
  <si>
    <t>Plumbing Fittings</t>
  </si>
  <si>
    <t>2" Dia Elbow Joint, 45*</t>
  </si>
  <si>
    <t>2" Dia Elbow Joint</t>
  </si>
  <si>
    <t>2" Dia Tee Joint</t>
  </si>
  <si>
    <t>2" X 2" X 3" Tee Joint</t>
  </si>
  <si>
    <t>3" Dia Elbow Joint, 45*</t>
  </si>
  <si>
    <t>3" Dia Elbow Joint</t>
  </si>
  <si>
    <t>3" X 2" X 3" Tee Joint</t>
  </si>
  <si>
    <t>4" Dia Wye Joint</t>
  </si>
  <si>
    <t>4" X 2" X 4" Tee Joint</t>
  </si>
  <si>
    <t>4" X 2" X 4" Wye Joint</t>
  </si>
  <si>
    <t>4" X 3" X 4" Wye Joint</t>
  </si>
  <si>
    <t>1/2" Dia Elbow Joint</t>
  </si>
  <si>
    <t>1/2" Dia Tee Joint</t>
  </si>
  <si>
    <t>1/2" X 1/2" X 1" Tee Joint</t>
  </si>
  <si>
    <t>1/2" X 1/2" X 3/4" Tee Joint</t>
  </si>
  <si>
    <t>3/4" Dia Elbow Joint</t>
  </si>
  <si>
    <t>3/4" X 3/4" X 1" Tee Joint</t>
  </si>
  <si>
    <t>1" Dia Elbow Joint</t>
  </si>
  <si>
    <t>1" Dia Tee Joint</t>
  </si>
  <si>
    <t>1" X 1/2" X 1" Tee Joint</t>
  </si>
  <si>
    <t>1" X 3/4" X 1" Tee Joint</t>
  </si>
  <si>
    <t>Equipments</t>
  </si>
  <si>
    <t>Gi-1, Hydromechanical Grease Interceptor, Manufacturer: Schier, Model No: Gb-50, 50 Gpm, 4" Flow Control Valve, 2 Anchors, Drain Pan</t>
  </si>
  <si>
    <t>Water Sub Meter</t>
  </si>
  <si>
    <t>Wh-1, Electric Water Heater, Manufacturer: Holdrite, Model No: 50-Swhp-W, Wall Hung With Drain Pan And Drain Valve</t>
  </si>
  <si>
    <t>Shut-Off Valve</t>
  </si>
  <si>
    <t>Check Valve</t>
  </si>
  <si>
    <t>Aquastat</t>
  </si>
  <si>
    <t>Temperature Gauge</t>
  </si>
  <si>
    <t>Mixing Valve</t>
  </si>
  <si>
    <t>Pressure And Temperature Relief Valve</t>
  </si>
  <si>
    <t>Restraint Strap</t>
  </si>
  <si>
    <t>Et-1, Expansion Tank</t>
  </si>
  <si>
    <t>Rcp-1, Recirculation Pump</t>
  </si>
  <si>
    <t>Fixtures</t>
  </si>
  <si>
    <t>2-Comp Sink</t>
  </si>
  <si>
    <t>Co, 4" Dia Cleanout</t>
  </si>
  <si>
    <t>Fd, 3" Dia Floor Drain, Manufacturer: Zurn, Model No: Zs415 W</t>
  </si>
  <si>
    <t>Fd, 3" Dia Indirect Drain From 2-Comp Sink And Dishwasher To Sink</t>
  </si>
  <si>
    <t>Fd, 3" Dia Indirect Drain From Ice Machine And Soda Dispenser To Floor Sink</t>
  </si>
  <si>
    <t>Fd, 3" Dia Indirect Drain From Oven To Floor Sink</t>
  </si>
  <si>
    <t>Fd, 3" Dia Indirect Drain From Water Heater To Sink</t>
  </si>
  <si>
    <t>Fs, Floor Sink, Manufacturer: Zurn, Model No: Z1900-23-31</t>
  </si>
  <si>
    <t>Hs, Hand Sink, Manufacturer: Klingers, Model No: Stb3048Br</t>
  </si>
  <si>
    <t>Hs, Wall Mounted Hand Sink, Manufacturer: Advance Tabco, Model No: 7-Ps-23-Ec-Sp-1X</t>
  </si>
  <si>
    <t>Ms, Mop Sink</t>
  </si>
  <si>
    <t>Ps, Prep Sink, Manufacturer: Bk Resources, Model No: Stb3060Br</t>
  </si>
  <si>
    <t>Trap Primer</t>
  </si>
  <si>
    <t>Valves</t>
  </si>
  <si>
    <t>1/2" Dia Balancing Valve</t>
  </si>
  <si>
    <t>1/2" Dia Double Check Valve Assembly</t>
  </si>
  <si>
    <t>1/2" Dia Thermostatic Mixing Valve</t>
  </si>
  <si>
    <t>3/4" Dia Double Check Valve Assembly</t>
  </si>
  <si>
    <t>1" Dia Backflow Preventor Assembly To Main Supply</t>
  </si>
  <si>
    <t>Concrete SawCut &amp; Pour Back for Plumbing/Electrical Trenches</t>
  </si>
  <si>
    <t>CY</t>
  </si>
  <si>
    <t>23 00 00</t>
  </si>
  <si>
    <t>HEATING, VENTILATION &amp; AIR CONDITIONING</t>
  </si>
  <si>
    <t>Pipe Support</t>
  </si>
  <si>
    <t>Duct Support For Exhaust Air Round Ductwork</t>
  </si>
  <si>
    <t>Hanger Straps</t>
  </si>
  <si>
    <t>Expansion Bolt</t>
  </si>
  <si>
    <t>Duct Support For Exhaust Air Rectangular Ductwork With Strap</t>
  </si>
  <si>
    <t>Hanger Wires</t>
  </si>
  <si>
    <t>Duct Support For Return Air Rectangular Ductwork With Strap</t>
  </si>
  <si>
    <t>Duct Support For Supply Air Rectangular Ductwork With Strap</t>
  </si>
  <si>
    <t>HVAC Ductwork</t>
  </si>
  <si>
    <t>6" Dia Round Exhaust Air Duct Upto Roof</t>
  </si>
  <si>
    <t>18" Dia Kitchen Exhaust Air Round Duct</t>
  </si>
  <si>
    <t>18" Dia Round Kitchen Exhaust Duct Upto Roof</t>
  </si>
  <si>
    <t>8" X 8" Exhaust Air Rectangular Duct</t>
  </si>
  <si>
    <t>10" X 10" Return Air Rectangular Duct</t>
  </si>
  <si>
    <t>6" X 6" Supply Air Rectangular Duct</t>
  </si>
  <si>
    <t>8" X 8" Supply Air Rectangular Duct</t>
  </si>
  <si>
    <t>10" X 10" Supply Air Rectangular Duct</t>
  </si>
  <si>
    <t>HVAC Fittings</t>
  </si>
  <si>
    <t>6" X 6" Elbow</t>
  </si>
  <si>
    <t>8" X 8" Elbow</t>
  </si>
  <si>
    <t>8" X 8" Elbow, 45*</t>
  </si>
  <si>
    <t>10" X 10" Elbow</t>
  </si>
  <si>
    <t>6" X 6" Side Transition</t>
  </si>
  <si>
    <t>8" X 8" Side Transition</t>
  </si>
  <si>
    <t>10" X 10" Side Transition</t>
  </si>
  <si>
    <t>8" X 8" To 18" Dia Reducer</t>
  </si>
  <si>
    <t>10" X 10" To 8" X 8" Reducer</t>
  </si>
  <si>
    <t>Dampers and Fans</t>
  </si>
  <si>
    <t>Vd, 12" X 12" Volume Damper</t>
  </si>
  <si>
    <t>Vd, 24" X 24" Volume Damper</t>
  </si>
  <si>
    <t>Kef-1, Type-1 Kitchen Exhaust Fan With 2 Vibration Isolators And Auxiliary Steel, Manufacturer: Greenheck, Model No: Csp-A710, 430 Cfm</t>
  </si>
  <si>
    <t>Kitchen Exhaust Fan On Roof As Per Manufacturers Recommendation, Type-1</t>
  </si>
  <si>
    <t>Kitchen Exhaust Hood With Supply Duct</t>
  </si>
  <si>
    <t>Grilles, Diffusers and Registers</t>
  </si>
  <si>
    <t>A, 24" X 24" Exhaust Air Diffuser, 170 Cfm, Balancing Damper, Balancing Handle, Protection Saddle, 1" X 20 Gauge Galvanized Support Strap</t>
  </si>
  <si>
    <t>A1, 24" X 24" Supply Air Diffuser, Model No: Tdc-Aa, 170 Cfm, Balancing Damper, Balancing Handle, Protection Saddle, 1" X 20 Gauge Galvanized Support Strap</t>
  </si>
  <si>
    <t>A2, 12" X 12" Supply Air Diffuser, Model No: Pas, 50 Cfm, Balancing Damper, Balancing Handle, Protection Saddle, 1" X 20 Gauge Galvanized Support Strap</t>
  </si>
  <si>
    <t>A3, 12" X 6" Supply Air Diffuser, Model No: 300Fs, 100 Cfm, Balancing Damper, Balancing Handle, Protection Saddle, 1" X 20 Gauge Galvanized Support Strap</t>
  </si>
  <si>
    <t>R, 24" X 24" Return Air Diffuser, Model No: 56Fl, 310 Cfm, Balancing Damper, Balancing Handle, Protection Saddle, 1" X 20 Gauge Galvanized Support Strap</t>
  </si>
  <si>
    <t>Accu-1, 48.8" X 65.4" X 30.1" Air Conditioned Condensing Unit, Manufacturer: Daikin, Model No: Rxyq144Aatjb, Gas Fired With Condensate Drain, Installed On Vibration Isolators And Lag Bolts (Weather-Proof), 12 Ton</t>
  </si>
  <si>
    <t>Fcu-1, 55.1" X 9.6" X 31.5" Fan Coil Units With Drain Pan And 2 Angle Iron Rod, Manufacturer: Daikin, Model No: Fxsq48Tbvju, Concealed Duct, 4 Tons</t>
  </si>
  <si>
    <t>Fcu-2, 55.1" X 9.6" X 31.5" Fan Coil Units With Drain Pan And 2 Angle Iron Rod, Manufacturer: Daikin, Model No: Fxsq48Tbvju, Concealed Duct, 4 Tons</t>
  </si>
  <si>
    <t>Fcu-3, 55.1" X 9.6" X 31.5" Fan Coil Units With Drain Pan And 2 Angle Iron Rod, Manufacturer: Daikin, Model No: Fxsq48Tbvju, Concealed Duct, 4 Tons</t>
  </si>
  <si>
    <t>Sensors</t>
  </si>
  <si>
    <t>7-Day Programmable Thermostat At 48" Above Finished Floor</t>
  </si>
  <si>
    <t>Smoke Detector, Furnished/Installed By Mechanical Contractor</t>
  </si>
  <si>
    <t>Temperature Sensor At 72" Above Finished Floor</t>
  </si>
  <si>
    <t>26 00 00</t>
  </si>
  <si>
    <t>ELECTRICAL</t>
  </si>
  <si>
    <t>Conduits</t>
  </si>
  <si>
    <t>3/4"C</t>
  </si>
  <si>
    <t>1-1/2"C</t>
  </si>
  <si>
    <t>3"C</t>
  </si>
  <si>
    <t>Electrical Wiring</t>
  </si>
  <si>
    <t>2#12, 1#12G For Lighting</t>
  </si>
  <si>
    <t>2#12, 1#12G For Receptacle</t>
  </si>
  <si>
    <t>2#6, 1#10G For Junction</t>
  </si>
  <si>
    <t>2#12, 1#12G For Disconnect</t>
  </si>
  <si>
    <t>2#12, 1#12G For Junction</t>
  </si>
  <si>
    <t>2#12, 1#12G For Special Receptacle</t>
  </si>
  <si>
    <t>3#6, 1#10G For Disconnect</t>
  </si>
  <si>
    <t>3#8, 1#10G For Mechanical Unit</t>
  </si>
  <si>
    <t>3#1/0, 1#6G Feeder For Panels</t>
  </si>
  <si>
    <t>4#350Kcm + 1#1G Feeder To Meter</t>
  </si>
  <si>
    <t>4#350Kcm Feeder, Exact Coordinate To Be Confirmed With Utility Owner</t>
  </si>
  <si>
    <t>1#2/0 Cu Grounding Conductor</t>
  </si>
  <si>
    <t>Lighting</t>
  </si>
  <si>
    <t>A, 2' X 4' Led Backlit Panel, Manufacturer: Wespec, Model No: Wslbl-E24, 45 Watts</t>
  </si>
  <si>
    <t>A, 2' X 4' Led Backlit Panel, Manufacturer: Wespec, Model No: Wslbl-E24, 45 Watts, Night Light</t>
  </si>
  <si>
    <t>B, 2' X 2' Led Backlit Panel, Manufacturer: Wespec, Model No: Wslbl-E22, 30 Watts</t>
  </si>
  <si>
    <t>C, 6" Dia Recessed Downlight, Manufacturer: Wespec, Model No: Wsl3-61Twtw-Mpw, 24 Watts</t>
  </si>
  <si>
    <t>D1. 2' Led Linear Light, Manufacturer: Wespec, Model No: Wslnsw-2334W, 20 Watts</t>
  </si>
  <si>
    <t>D2, 4' Led Linear Light, Manufacturer: Wespec, Model No: Wslnsw-4334W, 20 Watts</t>
  </si>
  <si>
    <t>F, 14" Dia Custom Pendant Fixture, Manufacturer: Wespec, Model No: Wsl-P14Mbsr, 20 Watts</t>
  </si>
  <si>
    <t>X1, Exit/Emergency Combo Signs, Manufacturer: Espec, Model No: Ws-Exc-730-Led, 2 Watts</t>
  </si>
  <si>
    <t>Y1, Compact Dual Head Led Emergency Light, Manufacturer: Wespec, Model No: Ws-Em-612Ledw, 2 Watts</t>
  </si>
  <si>
    <t>Panels and Breakers</t>
  </si>
  <si>
    <t>B, Existing Electrical Panelboard</t>
  </si>
  <si>
    <t>15A/1-Pole Circuit Breaker</t>
  </si>
  <si>
    <t>15A/1-Pole Circuit Breaker, Verify In Field</t>
  </si>
  <si>
    <t>20A/1-Pole Circuit Breaker</t>
  </si>
  <si>
    <t>C, New Electrical Panelboard, 120/208Y V, 3-Ph, 4 Wire, 600A Mcb</t>
  </si>
  <si>
    <t>15A/2-Pole Circuit Breaker, Heat Air Conditioning &amp; Refrigeration</t>
  </si>
  <si>
    <t>20A/1-Pole Circuit Breaker, Spare</t>
  </si>
  <si>
    <t>20A/2-Pole Circuit Breaker</t>
  </si>
  <si>
    <t>50A/3-Pole Circuit Breaker, Heat Air Conditioning &amp; Refrigeration</t>
  </si>
  <si>
    <t>60A/2-Pole Circuit Breaker</t>
  </si>
  <si>
    <t>60A/3-Pole Circuit Breaker</t>
  </si>
  <si>
    <t>150A/3-Pole Circuit Breaker</t>
  </si>
  <si>
    <t>Heavy Equipments</t>
  </si>
  <si>
    <t>Fused Service Disconnect, 600A, 208Y/120V, 3-Ph, 4 Wire</t>
  </si>
  <si>
    <t>Electrical Meter, 600A, 208Y/120V, 3-Ph, 4 Wire</t>
  </si>
  <si>
    <t>Ct Cabinet, 600A, 208Y/120V, 3-Ph, 4 Wire</t>
  </si>
  <si>
    <t>Switches and Receptacles</t>
  </si>
  <si>
    <t>Single Pole Occupancy Sensor Switch</t>
  </si>
  <si>
    <t>Single Pole Switch</t>
  </si>
  <si>
    <t>Single Pole Timer Switch</t>
  </si>
  <si>
    <t>Timer Switch Bank</t>
  </si>
  <si>
    <t>Duplex Receptacle, Ground Fault Circuit Interrupter, Weather Proof</t>
  </si>
  <si>
    <t>Duplex Receptacle, Ground Fault Circuit Interrupter</t>
  </si>
  <si>
    <t>Duplex Receptacle, Isolated Ground</t>
  </si>
  <si>
    <t>Duplex Receptacle, Tamper Resistant</t>
  </si>
  <si>
    <t>Single Receptacle, Ground Fault Circuit Interrupter</t>
  </si>
  <si>
    <t>Single Receptacle</t>
  </si>
  <si>
    <t>Special Receptacle</t>
  </si>
  <si>
    <t>Window Receptacle, Ceiling Mounted</t>
  </si>
  <si>
    <t>Os, Occupancy Sensor</t>
  </si>
  <si>
    <t>Disconnect Switch</t>
  </si>
  <si>
    <t>15A/2-Pole Disconnect Switch</t>
  </si>
  <si>
    <t>50A/3-Pole Disconnect Switch, Weather-Proof</t>
  </si>
  <si>
    <t>60A/3-Pole Disconnect Switch</t>
  </si>
  <si>
    <t>Junction Box</t>
  </si>
  <si>
    <t>Timeclock</t>
  </si>
  <si>
    <t>27 00 00</t>
  </si>
  <si>
    <t>COMMUNICATIONS</t>
  </si>
  <si>
    <t>Cabling</t>
  </si>
  <si>
    <t>Cat6 Home Run For Data/Comm Outlet</t>
  </si>
  <si>
    <t>Data Communications</t>
  </si>
  <si>
    <t>Telecom/Data Outlet</t>
  </si>
  <si>
    <t>TOTAL MATERIAL</t>
  </si>
  <si>
    <t>TOTAL LABOR</t>
  </si>
  <si>
    <t>Notes:</t>
  </si>
  <si>
    <t>Online sources are used for pricing purpose. Please verify, as per your own convenience.</t>
  </si>
  <si>
    <t>Prices can vary, depending upon field conditions.</t>
  </si>
  <si>
    <t>All other prices are excluded that are not included in the estimate above.</t>
  </si>
  <si>
    <t>Cells highlighted with green, please price the items as per your own facility.</t>
  </si>
  <si>
    <t>Description</t>
  </si>
  <si>
    <t>Takeoff Qty</t>
  </si>
  <si>
    <t>Unit</t>
  </si>
  <si>
    <t>Length</t>
  </si>
  <si>
    <t>Width</t>
  </si>
  <si>
    <t>Height</t>
  </si>
  <si>
    <t>Calculated Qty</t>
  </si>
  <si>
    <t>(1/4"x3") Cont. Joist Tie Plate</t>
  </si>
  <si>
    <t>LBS</t>
  </si>
  <si>
    <t>(1/2"x6-1/2") Cont. Joist Tie Plate</t>
  </si>
  <si>
    <t>(1/2"x6") Cont. Joist Tie Plate</t>
  </si>
  <si>
    <t>(5/16"x3") Cont. Joist Tie Plate</t>
  </si>
  <si>
    <t xml:space="preserve">(5/16"x3-1/2") Cont. Joist Tie Plate </t>
  </si>
  <si>
    <t>(3/8x6-1/2") Cont. Joist Tie Plate</t>
  </si>
  <si>
    <r>
      <rPr>
        <sz val="15"/>
        <color theme="1"/>
        <rFont val="Calibri"/>
        <charset val="134"/>
        <scheme val="minor"/>
      </rPr>
      <t xml:space="preserve">Kindly add </t>
    </r>
    <r>
      <rPr>
        <b/>
        <sz val="15"/>
        <color theme="1"/>
        <rFont val="Calibri"/>
        <charset val="134"/>
        <scheme val="minor"/>
      </rPr>
      <t>Project GSF</t>
    </r>
    <r>
      <rPr>
        <sz val="15"/>
        <color theme="1"/>
        <rFont val="Calibri"/>
        <charset val="134"/>
        <scheme val="minor"/>
      </rPr>
      <t xml:space="preserve"> every time in summary sheet tab.</t>
    </r>
  </si>
  <si>
    <t>Always spare one line at bottom of every trade on worksheet for adding extra work if needed, (by this formulas will not be disturbed).</t>
  </si>
  <si>
    <t>Do not add extra column in work sheet for calculations. Always use (ROUGH SHEET CALCULATION TAB) for all calculation work. Without that tab, your work will not be considered for QA. Simply copy the data form Plan-swift extracted sheet and paste into that tab, and do all the necessary work and calculation there, and then put it in final Worksheet Tab. So, the QA person can easily verify the calculations.</t>
  </si>
  <si>
    <r>
      <rPr>
        <sz val="15"/>
        <color theme="1"/>
        <rFont val="Calibri"/>
        <charset val="134"/>
        <scheme val="minor"/>
      </rPr>
      <t xml:space="preserve">Always use </t>
    </r>
    <r>
      <rPr>
        <b/>
        <sz val="15"/>
        <color theme="1"/>
        <rFont val="Calibri"/>
        <charset val="134"/>
        <scheme val="minor"/>
      </rPr>
      <t>Calibri Font</t>
    </r>
    <r>
      <rPr>
        <sz val="15"/>
        <color theme="1"/>
        <rFont val="Calibri"/>
        <charset val="134"/>
        <scheme val="minor"/>
      </rPr>
      <t xml:space="preserve"> for writing in the sheet, Font Size 11.</t>
    </r>
  </si>
  <si>
    <r>
      <rPr>
        <sz val="15"/>
        <color theme="1"/>
        <rFont val="Calibri"/>
        <charset val="134"/>
        <scheme val="minor"/>
      </rPr>
      <t xml:space="preserve">Make sure to apply </t>
    </r>
    <r>
      <rPr>
        <b/>
        <sz val="15"/>
        <color theme="1"/>
        <rFont val="Calibri"/>
        <charset val="134"/>
        <scheme val="minor"/>
      </rPr>
      <t>spell check</t>
    </r>
    <r>
      <rPr>
        <sz val="15"/>
        <color theme="1"/>
        <rFont val="Calibri"/>
        <charset val="134"/>
        <scheme val="minor"/>
      </rPr>
      <t xml:space="preserve"> before sending the sheet.</t>
    </r>
  </si>
  <si>
    <t>Make sure all formulas are working and integrated.</t>
  </si>
  <si>
    <t>Do not Delete MEP divisions while finalizing your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</si>
</sst>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164" formatCode="_(* #,##0.00_);_(* \(#,##0.00\);_(* &quot;-&quot;??_);_(@_)"/>
    <numFmt numFmtId="165" formatCode="_(&quot;$&quot;* #,##0.00_);_(&quot;$&quot;* \(#,##0.00\);_(&quot;$&quot;* &quot;-&quot;??_);_(@_)"/>
    <numFmt numFmtId="166" formatCode="00\ 00\ 00"/>
    <numFmt numFmtId="167" formatCode="_-[$$-409]* #,##0.00_ ;_-[$$-409]* \-#,##0.00\ ;_-[$$-409]* &quot;-&quot;??_ ;_-@_ "/>
    <numFmt numFmtId="168" formatCode="_-* #,##0.00_-;\-* #,##0.00_-;_-* &quot;-&quot;_-;_-@_-"/>
    <numFmt numFmtId="169" formatCode="_-[$$-409]* #,##0_ ;_-[$$-409]* \-#,##0\ ;_-[$$-409]* &quot;-&quot;??_ ;_-@_ "/>
    <numFmt numFmtId="170" formatCode="[$-F800]dddd\,\ mmmm\ dd\,\ yyyy"/>
    <numFmt numFmtId="171" formatCode="&quot;$&quot;#,##0.00"/>
    <numFmt numFmtId="172" formatCode="0.000"/>
    <numFmt numFmtId="173" formatCode="_(&quot;$&quot;* #,##0_);_(&quot;$&quot;* \(#,##0\);_(&quot;$&quot;* &quot;-&quot;??_);_(@_)"/>
  </numFmts>
  <fonts count="28">
    <font>
      <sz val="11"/>
      <color theme="1"/>
      <name val="Calibri"/>
      <charset val="134"/>
      <scheme val="minor"/>
    </font>
    <font>
      <sz val="15"/>
      <color theme="1"/>
      <name val="Calibri"/>
      <charset val="134"/>
      <scheme val="minor"/>
    </font>
    <font>
      <b/>
      <sz val="12"/>
      <color theme="1"/>
      <name val="Calibri"/>
      <charset val="134"/>
      <scheme val="minor"/>
    </font>
    <font>
      <b/>
      <sz val="11"/>
      <color theme="1"/>
      <name val="Calibri"/>
      <charset val="134"/>
      <scheme val="minor"/>
    </font>
    <font>
      <sz val="14"/>
      <color theme="1"/>
      <name val="Calibri"/>
      <charset val="134"/>
      <scheme val="minor"/>
    </font>
    <font>
      <i/>
      <sz val="11"/>
      <color theme="1"/>
      <name val="Calibri"/>
      <charset val="134"/>
      <scheme val="minor"/>
    </font>
    <font>
      <b/>
      <sz val="11"/>
      <name val="Calibri"/>
      <charset val="134"/>
      <scheme val="minor"/>
    </font>
    <font>
      <b/>
      <sz val="20"/>
      <name val="Calibri"/>
      <charset val="134"/>
      <scheme val="minor"/>
    </font>
    <font>
      <b/>
      <sz val="14"/>
      <name val="Calibri"/>
      <charset val="134"/>
      <scheme val="minor"/>
    </font>
    <font>
      <b/>
      <sz val="11"/>
      <color theme="0"/>
      <name val="Calibri"/>
      <charset val="134"/>
      <scheme val="minor"/>
    </font>
    <font>
      <b/>
      <sz val="14"/>
      <color theme="0"/>
      <name val="Calibri"/>
      <charset val="134"/>
      <scheme val="minor"/>
    </font>
    <font>
      <sz val="11"/>
      <color theme="0"/>
      <name val="Calibri"/>
      <charset val="134"/>
      <scheme val="minor"/>
    </font>
    <font>
      <b/>
      <i/>
      <sz val="11"/>
      <color theme="4" tint="-0.249977111117893"/>
      <name val="Calibri"/>
      <charset val="134"/>
      <scheme val="minor"/>
    </font>
    <font>
      <sz val="11"/>
      <name val="Calibri"/>
      <charset val="134"/>
      <scheme val="minor"/>
    </font>
    <font>
      <sz val="11"/>
      <color theme="1"/>
      <name val="Calibri"/>
      <charset val="134"/>
    </font>
    <font>
      <sz val="12"/>
      <color theme="1"/>
      <name val="Calibri"/>
      <charset val="134"/>
      <scheme val="minor"/>
    </font>
    <font>
      <b/>
      <sz val="11"/>
      <color rgb="FF000000"/>
      <name val="Calibri"/>
      <charset val="134"/>
    </font>
    <font>
      <sz val="11"/>
      <color rgb="FF000000"/>
      <name val="Calibri"/>
      <charset val="134"/>
    </font>
    <font>
      <b/>
      <sz val="16"/>
      <name val="Calibri"/>
      <charset val="134"/>
      <scheme val="minor"/>
    </font>
    <font>
      <b/>
      <sz val="20"/>
      <color theme="0"/>
      <name val="Calibri"/>
      <charset val="134"/>
      <scheme val="minor"/>
    </font>
    <font>
      <b/>
      <sz val="11"/>
      <color theme="1"/>
      <name val="Calibri"/>
      <charset val="134"/>
    </font>
    <font>
      <b/>
      <sz val="14"/>
      <color rgb="FFFF0000"/>
      <name val="Calibri"/>
      <charset val="134"/>
      <scheme val="minor"/>
    </font>
    <font>
      <sz val="16"/>
      <color theme="1"/>
      <name val="Calibri"/>
      <charset val="134"/>
      <scheme val="minor"/>
    </font>
    <font>
      <b/>
      <sz val="14"/>
      <color theme="1"/>
      <name val="Calibri"/>
      <charset val="134"/>
      <scheme val="minor"/>
    </font>
    <font>
      <b/>
      <sz val="11"/>
      <color rgb="FFFF0000"/>
      <name val="Calibri"/>
      <charset val="134"/>
      <scheme val="minor"/>
    </font>
    <font>
      <sz val="12"/>
      <name val="Arial"/>
      <charset val="134"/>
    </font>
    <font>
      <b/>
      <sz val="15"/>
      <color theme="1"/>
      <name val="Calibri"/>
      <charset val="134"/>
      <scheme val="minor"/>
    </font>
    <font>
      <sz val="11"/>
      <color theme="1"/>
      <name val="Calibri"/>
      <charset val="134"/>
      <scheme val="minor"/>
    </font>
  </fonts>
  <fills count="13">
    <fill>
      <patternFill patternType="none"/>
    </fill>
    <fill>
      <patternFill patternType="gray125"/>
    </fill>
    <fill>
      <patternFill patternType="solid">
        <fgColor theme="9" tint="0.79985961485641044"/>
        <bgColor indexed="64"/>
      </patternFill>
    </fill>
    <fill>
      <patternFill patternType="solid">
        <fgColor theme="8"/>
        <bgColor indexed="64"/>
      </patternFill>
    </fill>
    <fill>
      <patternFill patternType="solid">
        <fgColor theme="3" tint="-0.499984740745262"/>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8596148564104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39985351115451523"/>
        <bgColor indexed="64"/>
      </patternFill>
    </fill>
    <fill>
      <patternFill patternType="solid">
        <fgColor theme="7" tint="0.79985961485641044"/>
        <bgColor indexed="64"/>
      </patternFill>
    </fill>
    <fill>
      <patternFill patternType="solid">
        <fgColor indexed="26"/>
        <bgColor indexed="64"/>
      </patternFill>
    </fill>
  </fills>
  <borders count="50">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medium">
        <color auto="1"/>
      </left>
      <right/>
      <top/>
      <bottom style="thin">
        <color auto="1"/>
      </bottom>
      <diagonal/>
    </border>
    <border>
      <left/>
      <right/>
      <top/>
      <bottom style="thin">
        <color auto="1"/>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indexed="22"/>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s>
  <cellStyleXfs count="7">
    <xf numFmtId="0" fontId="0" fillId="0" borderId="0"/>
    <xf numFmtId="165" fontId="27" fillId="0" borderId="0" applyFont="0" applyFill="0" applyBorder="0" applyAlignment="0" applyProtection="0"/>
    <xf numFmtId="9" fontId="27" fillId="0" borderId="0" applyFont="0" applyFill="0" applyBorder="0" applyAlignment="0" applyProtection="0"/>
    <xf numFmtId="41" fontId="27" fillId="0" borderId="0" applyFont="0" applyFill="0" applyBorder="0" applyAlignment="0" applyProtection="0"/>
    <xf numFmtId="0" fontId="25" fillId="0" borderId="0"/>
    <xf numFmtId="0" fontId="17" fillId="0" borderId="0">
      <protection locked="0"/>
    </xf>
    <xf numFmtId="0" fontId="25" fillId="12" borderId="15" applyNumberFormat="0" applyFont="0" applyAlignment="0" applyProtection="0"/>
  </cellStyleXfs>
  <cellXfs count="289">
    <xf numFmtId="0" fontId="0" fillId="0" borderId="0" xfId="0"/>
    <xf numFmtId="0" fontId="1" fillId="0" borderId="0" xfId="0" applyFont="1" applyAlignment="1">
      <alignment horizontal="left" vertical="center" wrapText="1" indent="1"/>
    </xf>
    <xf numFmtId="0" fontId="0" fillId="0" borderId="0" xfId="0" applyAlignment="1">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166" fontId="0" fillId="0" borderId="0" xfId="0" applyNumberFormat="1" applyAlignment="1">
      <alignment horizontal="center" vertical="center"/>
    </xf>
    <xf numFmtId="0" fontId="0" fillId="0" borderId="0" xfId="0" applyAlignment="1">
      <alignment vertical="center" wrapText="1"/>
    </xf>
    <xf numFmtId="1" fontId="0" fillId="0" borderId="0" xfId="0" applyNumberFormat="1" applyAlignment="1">
      <alignment horizontal="center" vertical="center"/>
    </xf>
    <xf numFmtId="167" fontId="0" fillId="0" borderId="0" xfId="0" applyNumberFormat="1" applyAlignment="1">
      <alignment horizontal="center" vertical="center"/>
    </xf>
    <xf numFmtId="2" fontId="0" fillId="0" borderId="0" xfId="3" applyNumberFormat="1" applyFont="1" applyAlignment="1">
      <alignment horizontal="center" vertical="center"/>
    </xf>
    <xf numFmtId="168" fontId="0" fillId="0" borderId="0" xfId="3" applyNumberFormat="1" applyFont="1" applyAlignment="1">
      <alignment horizontal="center" vertical="center"/>
    </xf>
    <xf numFmtId="169" fontId="0" fillId="0" borderId="0" xfId="3" applyNumberFormat="1" applyFont="1" applyAlignment="1">
      <alignment horizontal="center" vertical="center"/>
    </xf>
    <xf numFmtId="0" fontId="5" fillId="0" borderId="0" xfId="0" applyFont="1" applyAlignment="1">
      <alignment vertical="center"/>
    </xf>
    <xf numFmtId="0" fontId="8" fillId="0" borderId="9" xfId="0" applyFont="1" applyBorder="1" applyAlignment="1">
      <alignment vertical="center" wrapText="1"/>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166" fontId="6" fillId="0" borderId="9" xfId="0" applyNumberFormat="1" applyFont="1" applyBorder="1" applyAlignment="1">
      <alignment horizontal="center" vertical="center" wrapText="1"/>
    </xf>
    <xf numFmtId="1" fontId="6" fillId="0" borderId="9" xfId="0" applyNumberFormat="1" applyFont="1" applyBorder="1" applyAlignment="1">
      <alignment horizontal="center" vertical="center" wrapText="1"/>
    </xf>
    <xf numFmtId="0" fontId="9" fillId="3" borderId="4" xfId="6" applyFont="1" applyFill="1" applyBorder="1" applyAlignment="1">
      <alignment vertical="center" wrapText="1"/>
    </xf>
    <xf numFmtId="0" fontId="9" fillId="3" borderId="5" xfId="6" applyFont="1" applyFill="1" applyBorder="1" applyAlignment="1">
      <alignment vertical="center" wrapText="1"/>
    </xf>
    <xf numFmtId="0" fontId="9" fillId="3" borderId="5" xfId="6" applyFont="1" applyFill="1" applyBorder="1" applyAlignment="1">
      <alignment horizontal="center" vertical="center" wrapText="1"/>
    </xf>
    <xf numFmtId="0" fontId="10" fillId="3" borderId="5" xfId="6" applyFont="1" applyFill="1" applyBorder="1" applyAlignment="1">
      <alignment horizontal="center" vertical="center" wrapText="1"/>
    </xf>
    <xf numFmtId="1" fontId="11" fillId="3" borderId="5" xfId="6" applyNumberFormat="1" applyFont="1" applyFill="1" applyBorder="1" applyAlignment="1">
      <alignment horizontal="center" vertical="center" wrapText="1"/>
    </xf>
    <xf numFmtId="0" fontId="11" fillId="3" borderId="5" xfId="6" applyFont="1" applyFill="1" applyBorder="1" applyAlignment="1">
      <alignment horizontal="center" vertical="center" wrapText="1"/>
    </xf>
    <xf numFmtId="0" fontId="9" fillId="4" borderId="13" xfId="6" applyFont="1" applyFill="1" applyBorder="1" applyAlignment="1">
      <alignment vertical="center" wrapText="1"/>
    </xf>
    <xf numFmtId="0" fontId="9" fillId="4" borderId="14" xfId="6" applyFont="1" applyFill="1" applyBorder="1" applyAlignment="1">
      <alignment vertical="center" wrapText="1"/>
    </xf>
    <xf numFmtId="0" fontId="9" fillId="4" borderId="14" xfId="6" applyFont="1" applyFill="1" applyBorder="1" applyAlignment="1">
      <alignment horizontal="center" vertical="center" wrapText="1"/>
    </xf>
    <xf numFmtId="166" fontId="9" fillId="4" borderId="15" xfId="6" applyNumberFormat="1" applyFont="1" applyFill="1" applyAlignment="1">
      <alignment horizontal="center" vertical="center" wrapText="1"/>
    </xf>
    <xf numFmtId="0" fontId="9" fillId="4" borderId="16" xfId="6" applyFont="1" applyFill="1" applyBorder="1" applyAlignment="1">
      <alignment horizontal="center" vertical="center" wrapText="1"/>
    </xf>
    <xf numFmtId="1" fontId="11" fillId="4" borderId="17" xfId="6" applyNumberFormat="1" applyFont="1" applyFill="1" applyBorder="1" applyAlignment="1">
      <alignment horizontal="center" vertical="center" wrapText="1"/>
    </xf>
    <xf numFmtId="0" fontId="11" fillId="4" borderId="14" xfId="6" applyFont="1" applyFill="1" applyBorder="1" applyAlignment="1">
      <alignment horizontal="center" vertical="center" wrapText="1"/>
    </xf>
    <xf numFmtId="0" fontId="0" fillId="0" borderId="18" xfId="0" applyBorder="1" applyAlignment="1">
      <alignment horizontal="center" vertical="center" wrapText="1"/>
    </xf>
    <xf numFmtId="0" fontId="3" fillId="0" borderId="19" xfId="0" applyFont="1" applyBorder="1" applyAlignment="1">
      <alignment horizontal="center" vertical="center"/>
    </xf>
    <xf numFmtId="166" fontId="12" fillId="0" borderId="19" xfId="0" applyNumberFormat="1" applyFont="1" applyBorder="1" applyAlignment="1">
      <alignment horizontal="center" vertical="center" wrapText="1"/>
    </xf>
    <xf numFmtId="0" fontId="6" fillId="5" borderId="15" xfId="6" applyFont="1" applyFill="1" applyAlignment="1">
      <alignment horizontal="justify" vertical="center"/>
    </xf>
    <xf numFmtId="1" fontId="0" fillId="0" borderId="1" xfId="0" applyNumberFormat="1" applyBorder="1" applyAlignment="1">
      <alignment horizontal="center" vertical="center"/>
    </xf>
    <xf numFmtId="0" fontId="0" fillId="6" borderId="1" xfId="0" applyFill="1" applyBorder="1" applyAlignment="1">
      <alignment horizontal="center" vertical="center"/>
    </xf>
    <xf numFmtId="9" fontId="13" fillId="6" borderId="1" xfId="2" applyFont="1" applyFill="1" applyBorder="1" applyAlignment="1">
      <alignment horizontal="center" vertical="center"/>
    </xf>
    <xf numFmtId="0" fontId="14" fillId="0" borderId="1" xfId="0" applyFont="1" applyBorder="1" applyAlignment="1">
      <alignment wrapText="1"/>
    </xf>
    <xf numFmtId="0" fontId="14" fillId="0" borderId="1" xfId="0" applyFont="1" applyBorder="1" applyAlignment="1">
      <alignment horizontal="center" vertical="center"/>
    </xf>
    <xf numFmtId="0" fontId="14" fillId="0" borderId="1" xfId="0" applyFont="1" applyBorder="1"/>
    <xf numFmtId="166" fontId="12" fillId="0" borderId="20" xfId="0" applyNumberFormat="1" applyFont="1" applyBorder="1" applyAlignment="1">
      <alignment horizontal="center" vertical="center" wrapText="1"/>
    </xf>
    <xf numFmtId="0" fontId="14" fillId="0" borderId="21" xfId="0" applyFont="1" applyBorder="1"/>
    <xf numFmtId="0" fontId="2" fillId="0" borderId="1" xfId="0" applyFont="1" applyBorder="1" applyAlignment="1">
      <alignment horizontal="center" vertical="center"/>
    </xf>
    <xf numFmtId="166" fontId="2" fillId="0" borderId="20" xfId="0" applyNumberFormat="1" applyFont="1" applyBorder="1" applyAlignment="1">
      <alignment horizontal="center" vertical="center"/>
    </xf>
    <xf numFmtId="0" fontId="3" fillId="0" borderId="21" xfId="0" applyFont="1" applyBorder="1" applyAlignment="1">
      <alignment vertical="center" wrapText="1"/>
    </xf>
    <xf numFmtId="1" fontId="15" fillId="0" borderId="1" xfId="0" applyNumberFormat="1" applyFont="1" applyBorder="1" applyAlignment="1">
      <alignment horizontal="center" vertical="center"/>
    </xf>
    <xf numFmtId="1" fontId="15" fillId="0" borderId="22" xfId="0" applyNumberFormat="1" applyFont="1" applyBorder="1" applyAlignment="1">
      <alignment horizontal="center" vertical="center"/>
    </xf>
    <xf numFmtId="0" fontId="6" fillId="6" borderId="4" xfId="4" applyFont="1" applyFill="1" applyBorder="1" applyAlignment="1">
      <alignment vertical="center"/>
    </xf>
    <xf numFmtId="0" fontId="0" fillId="0" borderId="1" xfId="0" applyBorder="1" applyAlignment="1">
      <alignment horizontal="center" vertical="center" wrapText="1"/>
    </xf>
    <xf numFmtId="166" fontId="0" fillId="0" borderId="20" xfId="0" applyNumberFormat="1" applyBorder="1" applyAlignment="1">
      <alignment horizontal="center" vertical="center"/>
    </xf>
    <xf numFmtId="0" fontId="0" fillId="0" borderId="21" xfId="0" applyBorder="1" applyAlignment="1">
      <alignment vertical="center" wrapText="1"/>
    </xf>
    <xf numFmtId="1" fontId="0" fillId="0" borderId="1" xfId="0" applyNumberFormat="1" applyBorder="1" applyAlignment="1">
      <alignment horizontal="center" vertical="center" wrapText="1"/>
    </xf>
    <xf numFmtId="0" fontId="16" fillId="0" borderId="1" xfId="0" applyFont="1" applyBorder="1"/>
    <xf numFmtId="1" fontId="16" fillId="0" borderId="1" xfId="0" applyNumberFormat="1" applyFont="1" applyBorder="1" applyAlignment="1">
      <alignment horizontal="center" vertical="center"/>
    </xf>
    <xf numFmtId="0" fontId="16" fillId="0" borderId="1" xfId="0" applyFont="1" applyBorder="1" applyAlignment="1">
      <alignment horizontal="center" vertical="center"/>
    </xf>
    <xf numFmtId="0" fontId="17" fillId="0" borderId="1" xfId="0" applyFont="1" applyBorder="1"/>
    <xf numFmtId="1" fontId="17" fillId="0" borderId="1" xfId="0" applyNumberFormat="1" applyFont="1" applyBorder="1" applyAlignment="1">
      <alignment horizontal="center" vertical="center"/>
    </xf>
    <xf numFmtId="0" fontId="17" fillId="0" borderId="1" xfId="0" applyFont="1" applyBorder="1" applyAlignment="1">
      <alignment horizontal="center"/>
    </xf>
    <xf numFmtId="0" fontId="17" fillId="0" borderId="1" xfId="0" applyFont="1" applyBorder="1" applyAlignment="1">
      <alignment horizontal="right"/>
    </xf>
    <xf numFmtId="0" fontId="17" fillId="0" borderId="1" xfId="0" applyFont="1" applyBorder="1" applyAlignment="1">
      <alignment horizontal="center" vertical="center"/>
    </xf>
    <xf numFmtId="167" fontId="6" fillId="0" borderId="9" xfId="0" applyNumberFormat="1" applyFont="1" applyBorder="1" applyAlignment="1">
      <alignment horizontal="center" vertical="center" wrapText="1"/>
    </xf>
    <xf numFmtId="2" fontId="6" fillId="0" borderId="24" xfId="3" applyNumberFormat="1" applyFont="1" applyFill="1" applyBorder="1" applyAlignment="1">
      <alignment horizontal="center" vertical="center" wrapText="1"/>
    </xf>
    <xf numFmtId="168" fontId="6" fillId="0" borderId="24" xfId="3" applyNumberFormat="1" applyFont="1" applyFill="1" applyBorder="1" applyAlignment="1">
      <alignment horizontal="center" vertical="center" wrapText="1"/>
    </xf>
    <xf numFmtId="167" fontId="6" fillId="0" borderId="24" xfId="0" applyNumberFormat="1" applyFont="1" applyBorder="1" applyAlignment="1">
      <alignment horizontal="center" vertical="center" wrapText="1"/>
    </xf>
    <xf numFmtId="169" fontId="6" fillId="0" borderId="24" xfId="3" applyNumberFormat="1" applyFont="1" applyFill="1" applyBorder="1" applyAlignment="1">
      <alignment horizontal="center" vertical="center" wrapText="1"/>
    </xf>
    <xf numFmtId="0" fontId="11" fillId="3" borderId="5" xfId="6" applyFont="1" applyFill="1" applyBorder="1" applyAlignment="1">
      <alignment vertical="center" wrapText="1"/>
    </xf>
    <xf numFmtId="165" fontId="3" fillId="8" borderId="9" xfId="1" applyFont="1" applyFill="1" applyBorder="1" applyAlignment="1">
      <alignment vertical="center" wrapText="1"/>
    </xf>
    <xf numFmtId="2" fontId="9" fillId="3" borderId="5" xfId="6" applyNumberFormat="1" applyFont="1" applyFill="1" applyBorder="1" applyAlignment="1">
      <alignment vertical="center" wrapText="1"/>
    </xf>
    <xf numFmtId="0" fontId="11" fillId="4" borderId="14" xfId="6" applyFont="1" applyFill="1" applyBorder="1" applyAlignment="1">
      <alignment vertical="center" wrapText="1"/>
    </xf>
    <xf numFmtId="2" fontId="9" fillId="4" borderId="14" xfId="6" applyNumberFormat="1" applyFont="1" applyFill="1" applyBorder="1" applyAlignment="1">
      <alignment vertical="center" wrapText="1"/>
    </xf>
    <xf numFmtId="1" fontId="13" fillId="6" borderId="1" xfId="4" applyNumberFormat="1" applyFont="1" applyFill="1" applyBorder="1" applyAlignment="1">
      <alignment horizontal="center" vertical="center"/>
    </xf>
    <xf numFmtId="171" fontId="13" fillId="6" borderId="1" xfId="1" applyNumberFormat="1" applyFont="1" applyFill="1" applyBorder="1" applyAlignment="1">
      <alignment horizontal="center" vertical="center"/>
    </xf>
    <xf numFmtId="171" fontId="0" fillId="6" borderId="1" xfId="1" applyNumberFormat="1" applyFont="1" applyFill="1" applyBorder="1" applyAlignment="1">
      <alignment horizontal="center" vertical="center"/>
    </xf>
    <xf numFmtId="171" fontId="0" fillId="6" borderId="25" xfId="1" applyNumberFormat="1" applyFont="1" applyFill="1" applyBorder="1" applyAlignment="1">
      <alignment horizontal="center" vertical="center"/>
    </xf>
    <xf numFmtId="2" fontId="0" fillId="6" borderId="1" xfId="3" applyNumberFormat="1" applyFont="1" applyFill="1" applyBorder="1" applyAlignment="1">
      <alignment horizontal="center" vertical="center"/>
    </xf>
    <xf numFmtId="171" fontId="0" fillId="6" borderId="22" xfId="1" applyNumberFormat="1" applyFont="1" applyFill="1" applyBorder="1" applyAlignment="1">
      <alignment horizontal="center" vertical="center"/>
    </xf>
    <xf numFmtId="171" fontId="13" fillId="9" borderId="1" xfId="1" applyNumberFormat="1" applyFont="1" applyFill="1" applyBorder="1" applyAlignment="1">
      <alignment horizontal="center" vertical="center"/>
    </xf>
    <xf numFmtId="171" fontId="0" fillId="9" borderId="1" xfId="1" applyNumberFormat="1" applyFont="1" applyFill="1" applyBorder="1" applyAlignment="1">
      <alignment horizontal="center" vertical="center"/>
    </xf>
    <xf numFmtId="172" fontId="0" fillId="6" borderId="1" xfId="3" applyNumberFormat="1" applyFont="1" applyFill="1" applyBorder="1" applyAlignment="1">
      <alignment horizontal="center" vertical="center"/>
    </xf>
    <xf numFmtId="0" fontId="6" fillId="6" borderId="23" xfId="4" applyFont="1" applyFill="1" applyBorder="1" applyAlignment="1">
      <alignment vertical="center"/>
    </xf>
    <xf numFmtId="167" fontId="3" fillId="6" borderId="23" xfId="1" applyNumberFormat="1" applyFont="1" applyFill="1" applyBorder="1" applyAlignment="1">
      <alignment horizontal="center" vertical="center"/>
    </xf>
    <xf numFmtId="2" fontId="3" fillId="6" borderId="23" xfId="1" applyNumberFormat="1" applyFont="1" applyFill="1" applyBorder="1" applyAlignment="1">
      <alignment horizontal="center" vertical="center"/>
    </xf>
    <xf numFmtId="2" fontId="3" fillId="6" borderId="9" xfId="3" applyNumberFormat="1" applyFont="1" applyFill="1" applyBorder="1" applyAlignment="1">
      <alignment horizontal="center" vertical="center"/>
    </xf>
    <xf numFmtId="171" fontId="0" fillId="9" borderId="25" xfId="1" applyNumberFormat="1" applyFont="1" applyFill="1" applyBorder="1" applyAlignment="1">
      <alignment horizontal="center" vertical="center"/>
    </xf>
    <xf numFmtId="172" fontId="0" fillId="9" borderId="1" xfId="3" applyNumberFormat="1" applyFont="1" applyFill="1" applyBorder="1" applyAlignment="1">
      <alignment horizontal="center" vertical="center"/>
    </xf>
    <xf numFmtId="2" fontId="0" fillId="9" borderId="1" xfId="3" applyNumberFormat="1" applyFont="1" applyFill="1" applyBorder="1" applyAlignment="1">
      <alignment horizontal="center" vertical="center"/>
    </xf>
    <xf numFmtId="171" fontId="0" fillId="9" borderId="22" xfId="1" applyNumberFormat="1" applyFont="1" applyFill="1" applyBorder="1" applyAlignment="1">
      <alignment horizontal="center" vertical="center"/>
    </xf>
    <xf numFmtId="0" fontId="5" fillId="0" borderId="24" xfId="0" applyFont="1" applyBorder="1" applyAlignment="1">
      <alignment vertical="center"/>
    </xf>
    <xf numFmtId="0" fontId="9" fillId="3" borderId="23" xfId="6" applyFont="1" applyFill="1" applyBorder="1" applyAlignment="1">
      <alignment vertical="center" wrapText="1"/>
    </xf>
    <xf numFmtId="0" fontId="9" fillId="4" borderId="26" xfId="6" applyFont="1" applyFill="1" applyBorder="1" applyAlignment="1">
      <alignment vertical="center" wrapText="1"/>
    </xf>
    <xf numFmtId="171" fontId="5" fillId="0" borderId="27" xfId="0" applyNumberFormat="1" applyFont="1" applyBorder="1" applyAlignment="1">
      <alignment vertical="center"/>
    </xf>
    <xf numFmtId="169" fontId="3" fillId="0" borderId="9" xfId="0" applyNumberFormat="1" applyFont="1" applyBorder="1" applyAlignment="1">
      <alignment vertical="center"/>
    </xf>
    <xf numFmtId="0" fontId="0" fillId="0" borderId="1" xfId="0" applyBorder="1" applyAlignment="1">
      <alignment horizontal="left" vertical="center" wrapText="1"/>
    </xf>
    <xf numFmtId="0" fontId="0" fillId="0" borderId="19" xfId="0" applyBorder="1" applyAlignment="1">
      <alignment vertical="center"/>
    </xf>
    <xf numFmtId="0" fontId="0" fillId="0" borderId="19" xfId="0" applyBorder="1" applyAlignment="1">
      <alignment horizontal="center" vertical="center"/>
    </xf>
    <xf numFmtId="0" fontId="6" fillId="5" borderId="1" xfId="6" applyFont="1" applyFill="1" applyBorder="1" applyAlignment="1">
      <alignment horizontal="justify" vertical="center"/>
    </xf>
    <xf numFmtId="0" fontId="6" fillId="5" borderId="28" xfId="6" applyFont="1" applyFill="1" applyBorder="1" applyAlignment="1">
      <alignment horizontal="justify" vertical="center"/>
    </xf>
    <xf numFmtId="0" fontId="14" fillId="0" borderId="25" xfId="0" applyFont="1" applyBorder="1" applyAlignment="1">
      <alignment wrapText="1"/>
    </xf>
    <xf numFmtId="0" fontId="14" fillId="0" borderId="1" xfId="0" applyFont="1" applyBorder="1" applyAlignment="1">
      <alignment horizontal="right" wrapText="1"/>
    </xf>
    <xf numFmtId="0" fontId="14" fillId="0" borderId="21" xfId="0" applyFont="1" applyBorder="1" applyAlignment="1">
      <alignment wrapText="1"/>
    </xf>
    <xf numFmtId="0" fontId="14" fillId="0" borderId="22" xfId="0" applyFont="1" applyBorder="1" applyAlignment="1">
      <alignment horizontal="center" vertical="center"/>
    </xf>
    <xf numFmtId="9" fontId="13" fillId="6" borderId="0" xfId="2" applyFont="1" applyFill="1" applyBorder="1" applyAlignment="1">
      <alignment horizontal="center" vertical="center"/>
    </xf>
    <xf numFmtId="0" fontId="6" fillId="6" borderId="0" xfId="4" applyFont="1" applyFill="1" applyAlignment="1">
      <alignment vertical="center"/>
    </xf>
    <xf numFmtId="0" fontId="20" fillId="0" borderId="1" xfId="0" applyFont="1" applyBorder="1" applyAlignment="1">
      <alignment wrapText="1"/>
    </xf>
    <xf numFmtId="0" fontId="20" fillId="0" borderId="1" xfId="0" applyFont="1" applyBorder="1" applyAlignment="1">
      <alignment horizontal="left" wrapText="1"/>
    </xf>
    <xf numFmtId="1" fontId="13" fillId="6" borderId="0" xfId="4" applyNumberFormat="1" applyFont="1" applyFill="1" applyAlignment="1">
      <alignment horizontal="center" vertical="center"/>
    </xf>
    <xf numFmtId="171" fontId="13" fillId="6" borderId="0" xfId="1" applyNumberFormat="1" applyFont="1" applyFill="1" applyBorder="1" applyAlignment="1">
      <alignment horizontal="center" vertical="center"/>
    </xf>
    <xf numFmtId="171" fontId="0" fillId="6" borderId="0" xfId="1" applyNumberFormat="1" applyFont="1" applyFill="1" applyBorder="1" applyAlignment="1">
      <alignment horizontal="center" vertical="center"/>
    </xf>
    <xf numFmtId="172" fontId="0" fillId="6" borderId="0" xfId="3" applyNumberFormat="1" applyFont="1" applyFill="1" applyBorder="1" applyAlignment="1">
      <alignment horizontal="center" vertical="center"/>
    </xf>
    <xf numFmtId="2" fontId="0" fillId="6" borderId="0" xfId="3" applyNumberFormat="1" applyFont="1" applyFill="1" applyBorder="1" applyAlignment="1">
      <alignment horizontal="center" vertical="center"/>
    </xf>
    <xf numFmtId="167" fontId="3" fillId="6" borderId="0" xfId="1" applyNumberFormat="1" applyFont="1" applyFill="1" applyBorder="1" applyAlignment="1">
      <alignment horizontal="center" vertical="center"/>
    </xf>
    <xf numFmtId="169" fontId="3" fillId="6" borderId="0" xfId="1" applyNumberFormat="1" applyFont="1" applyFill="1" applyBorder="1" applyAlignment="1">
      <alignment horizontal="center" vertical="center"/>
    </xf>
    <xf numFmtId="2" fontId="3" fillId="6" borderId="0" xfId="1" applyNumberFormat="1" applyFont="1" applyFill="1" applyBorder="1" applyAlignment="1">
      <alignment horizontal="center" vertical="center"/>
    </xf>
    <xf numFmtId="2" fontId="3" fillId="6" borderId="0" xfId="3" applyNumberFormat="1" applyFont="1" applyFill="1" applyBorder="1" applyAlignment="1">
      <alignment horizontal="center" vertical="center"/>
    </xf>
    <xf numFmtId="171" fontId="5" fillId="0" borderId="29" xfId="0" applyNumberFormat="1" applyFont="1" applyBorder="1" applyAlignment="1">
      <alignment vertical="center"/>
    </xf>
    <xf numFmtId="171" fontId="5" fillId="0" borderId="11" xfId="0" applyNumberFormat="1" applyFont="1" applyBorder="1" applyAlignment="1">
      <alignment vertical="center"/>
    </xf>
    <xf numFmtId="169" fontId="3" fillId="0" borderId="11" xfId="0" applyNumberFormat="1" applyFont="1" applyBorder="1" applyAlignment="1">
      <alignment vertical="center"/>
    </xf>
    <xf numFmtId="0" fontId="14" fillId="0" borderId="0" xfId="0" applyFont="1"/>
    <xf numFmtId="0" fontId="14" fillId="0" borderId="1" xfId="0" applyFont="1" applyBorder="1" applyAlignment="1">
      <alignment horizontal="left" wrapText="1"/>
    </xf>
    <xf numFmtId="0" fontId="2" fillId="0" borderId="20" xfId="0" applyFont="1" applyBorder="1" applyAlignment="1">
      <alignment horizontal="center" vertical="center"/>
    </xf>
    <xf numFmtId="166" fontId="0" fillId="0" borderId="19" xfId="0" applyNumberFormat="1" applyBorder="1" applyAlignment="1">
      <alignment horizontal="center" vertical="center"/>
    </xf>
    <xf numFmtId="0" fontId="0" fillId="0" borderId="1" xfId="0" applyBorder="1" applyAlignment="1">
      <alignment vertical="center" wrapText="1"/>
    </xf>
    <xf numFmtId="0" fontId="0" fillId="6" borderId="10" xfId="0" applyFill="1" applyBorder="1" applyAlignment="1">
      <alignment vertical="center"/>
    </xf>
    <xf numFmtId="0" fontId="21" fillId="6" borderId="3" xfId="0" applyFont="1" applyFill="1" applyBorder="1" applyAlignment="1">
      <alignment vertical="center" wrapText="1"/>
    </xf>
    <xf numFmtId="0" fontId="0" fillId="6" borderId="0" xfId="0" applyFill="1" applyAlignment="1">
      <alignment vertical="center"/>
    </xf>
    <xf numFmtId="166" fontId="0" fillId="6" borderId="0" xfId="0" applyNumberFormat="1" applyFill="1" applyAlignment="1">
      <alignment horizontal="center" vertical="center"/>
    </xf>
    <xf numFmtId="1" fontId="4" fillId="6" borderId="3" xfId="0" applyNumberFormat="1"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3" xfId="0" applyFont="1" applyFill="1" applyBorder="1" applyAlignment="1">
      <alignment vertical="center" wrapText="1"/>
    </xf>
    <xf numFmtId="0" fontId="3" fillId="6" borderId="10" xfId="0" applyFont="1" applyFill="1" applyBorder="1" applyAlignment="1">
      <alignment horizontal="left" vertical="center"/>
    </xf>
    <xf numFmtId="1" fontId="0" fillId="6" borderId="0" xfId="0" applyNumberFormat="1" applyFill="1" applyAlignment="1">
      <alignment horizontal="center" vertical="center" wrapText="1"/>
    </xf>
    <xf numFmtId="0" fontId="0" fillId="6" borderId="0" xfId="0" applyFill="1" applyAlignment="1">
      <alignment horizontal="center" vertical="center" wrapText="1"/>
    </xf>
    <xf numFmtId="0" fontId="0" fillId="6" borderId="0" xfId="0" applyFill="1" applyAlignment="1">
      <alignment vertical="center" wrapText="1"/>
    </xf>
    <xf numFmtId="168" fontId="0" fillId="6" borderId="6" xfId="3" applyNumberFormat="1" applyFont="1" applyFill="1" applyBorder="1" applyAlignment="1">
      <alignment horizontal="center" vertical="center"/>
    </xf>
    <xf numFmtId="168" fontId="0" fillId="6" borderId="7" xfId="3" applyNumberFormat="1" applyFont="1" applyFill="1" applyBorder="1" applyAlignment="1">
      <alignment horizontal="center" vertical="center"/>
    </xf>
    <xf numFmtId="166" fontId="0" fillId="6" borderId="7" xfId="3" applyNumberFormat="1" applyFont="1" applyFill="1" applyBorder="1" applyAlignment="1">
      <alignment horizontal="center" vertical="center"/>
    </xf>
    <xf numFmtId="167" fontId="3" fillId="7" borderId="23" xfId="1" applyNumberFormat="1" applyFont="1" applyFill="1" applyBorder="1" applyAlignment="1">
      <alignment horizontal="center" vertical="center"/>
    </xf>
    <xf numFmtId="2" fontId="3" fillId="7" borderId="9" xfId="3" applyNumberFormat="1" applyFont="1" applyFill="1" applyBorder="1" applyAlignment="1">
      <alignment horizontal="center" vertical="center"/>
    </xf>
    <xf numFmtId="2" fontId="4" fillId="6" borderId="3" xfId="0" applyNumberFormat="1" applyFont="1" applyFill="1" applyBorder="1" applyAlignment="1">
      <alignment vertical="center" wrapText="1"/>
    </xf>
    <xf numFmtId="2" fontId="0" fillId="6" borderId="0" xfId="0" applyNumberFormat="1" applyFill="1" applyAlignment="1">
      <alignment vertical="center" wrapText="1"/>
    </xf>
    <xf numFmtId="169" fontId="3" fillId="7" borderId="9" xfId="0" applyNumberFormat="1" applyFont="1" applyFill="1" applyBorder="1" applyAlignment="1">
      <alignment vertical="center"/>
    </xf>
    <xf numFmtId="169" fontId="6" fillId="0" borderId="9" xfId="1" applyNumberFormat="1" applyFont="1" applyFill="1" applyBorder="1" applyAlignment="1">
      <alignment horizontal="right" vertical="center"/>
    </xf>
    <xf numFmtId="0" fontId="4" fillId="6" borderId="8" xfId="0" applyFont="1" applyFill="1" applyBorder="1" applyAlignment="1">
      <alignment vertical="center" wrapText="1"/>
    </xf>
    <xf numFmtId="0" fontId="0" fillId="6" borderId="11" xfId="0" applyFill="1" applyBorder="1" applyAlignment="1">
      <alignment vertical="center" wrapText="1"/>
    </xf>
    <xf numFmtId="167" fontId="0" fillId="0" borderId="0" xfId="0" applyNumberFormat="1" applyAlignment="1">
      <alignment vertical="center"/>
    </xf>
    <xf numFmtId="0" fontId="0" fillId="0" borderId="10" xfId="0" applyBorder="1" applyAlignment="1">
      <alignment vertical="center"/>
    </xf>
    <xf numFmtId="0" fontId="6" fillId="0" borderId="30" xfId="0" applyFont="1" applyBorder="1" applyAlignment="1">
      <alignment horizontal="center" vertical="center" wrapText="1"/>
    </xf>
    <xf numFmtId="0" fontId="6" fillId="0" borderId="32" xfId="0" applyFont="1" applyBorder="1" applyAlignment="1">
      <alignment horizontal="center" vertical="center" wrapText="1"/>
    </xf>
    <xf numFmtId="173" fontId="6" fillId="0" borderId="32" xfId="1" applyNumberFormat="1" applyFont="1" applyBorder="1" applyAlignment="1">
      <alignment horizontal="center" vertical="center"/>
    </xf>
    <xf numFmtId="173" fontId="6" fillId="0" borderId="32" xfId="1" applyNumberFormat="1" applyFont="1" applyFill="1" applyBorder="1" applyAlignment="1">
      <alignment horizontal="center" vertical="center" wrapText="1"/>
    </xf>
    <xf numFmtId="0" fontId="9" fillId="3" borderId="33" xfId="0" applyFont="1" applyFill="1" applyBorder="1" applyAlignment="1">
      <alignment horizontal="center" vertical="center"/>
    </xf>
    <xf numFmtId="0" fontId="9" fillId="3" borderId="1" xfId="0" applyFont="1" applyFill="1" applyBorder="1" applyAlignment="1">
      <alignment horizontal="left" vertical="center" wrapText="1"/>
    </xf>
    <xf numFmtId="167" fontId="9" fillId="3" borderId="1" xfId="0" applyNumberFormat="1" applyFont="1" applyFill="1" applyBorder="1" applyAlignment="1">
      <alignment horizontal="center" vertical="center" wrapText="1"/>
    </xf>
    <xf numFmtId="167" fontId="9" fillId="3" borderId="1" xfId="0" applyNumberFormat="1" applyFont="1" applyFill="1" applyBorder="1" applyAlignment="1">
      <alignment horizontal="center" vertical="center"/>
    </xf>
    <xf numFmtId="166" fontId="0" fillId="0" borderId="33" xfId="0" applyNumberFormat="1" applyBorder="1" applyAlignment="1">
      <alignment horizontal="center" vertical="center"/>
    </xf>
    <xf numFmtId="167" fontId="0" fillId="0" borderId="1" xfId="0" applyNumberFormat="1" applyBorder="1" applyAlignment="1">
      <alignment horizontal="center" vertical="center" wrapText="1"/>
    </xf>
    <xf numFmtId="167" fontId="0" fillId="0" borderId="1" xfId="0" applyNumberFormat="1" applyBorder="1" applyAlignment="1">
      <alignment horizontal="center" vertical="center"/>
    </xf>
    <xf numFmtId="0" fontId="0" fillId="0" borderId="18" xfId="0" applyBorder="1" applyAlignment="1">
      <alignment horizontal="center" vertical="center"/>
    </xf>
    <xf numFmtId="0" fontId="15" fillId="7" borderId="18" xfId="0" applyFont="1" applyFill="1" applyBorder="1" applyAlignment="1">
      <alignment horizontal="center" vertical="center"/>
    </xf>
    <xf numFmtId="0" fontId="23" fillId="7" borderId="1" xfId="0" applyFont="1" applyFill="1" applyBorder="1" applyAlignment="1">
      <alignment horizontal="center" vertical="center" wrapText="1"/>
    </xf>
    <xf numFmtId="169" fontId="23" fillId="7" borderId="1" xfId="0" applyNumberFormat="1" applyFont="1" applyFill="1" applyBorder="1" applyAlignment="1">
      <alignment horizontal="center" vertical="center" wrapText="1"/>
    </xf>
    <xf numFmtId="0" fontId="0" fillId="0" borderId="34" xfId="0" applyBorder="1" applyAlignment="1">
      <alignment horizontal="center" vertical="center"/>
    </xf>
    <xf numFmtId="0" fontId="0" fillId="0" borderId="35" xfId="0" applyBorder="1" applyAlignment="1">
      <alignment vertical="center"/>
    </xf>
    <xf numFmtId="167" fontId="0" fillId="0" borderId="35" xfId="0" applyNumberFormat="1" applyBorder="1" applyAlignment="1">
      <alignment horizontal="center" vertical="center"/>
    </xf>
    <xf numFmtId="0" fontId="0" fillId="0" borderId="36" xfId="0" applyBorder="1" applyAlignment="1">
      <alignment horizontal="center" vertical="center"/>
    </xf>
    <xf numFmtId="0" fontId="2" fillId="0" borderId="37" xfId="0" applyFont="1" applyBorder="1" applyAlignment="1">
      <alignment horizontal="left" vertical="center"/>
    </xf>
    <xf numFmtId="167" fontId="2" fillId="0" borderId="38" xfId="0" applyNumberFormat="1" applyFont="1" applyBorder="1" applyAlignment="1">
      <alignment vertical="center"/>
    </xf>
    <xf numFmtId="167" fontId="2" fillId="0" borderId="39" xfId="0" applyNumberFormat="1" applyFont="1" applyBorder="1" applyAlignment="1">
      <alignment vertical="center"/>
    </xf>
    <xf numFmtId="0" fontId="0" fillId="0" borderId="33" xfId="0" applyBorder="1" applyAlignment="1">
      <alignment horizontal="center" vertical="center"/>
    </xf>
    <xf numFmtId="0" fontId="0" fillId="0" borderId="22" xfId="0" applyBorder="1" applyAlignment="1">
      <alignment vertical="center"/>
    </xf>
    <xf numFmtId="9" fontId="3" fillId="8" borderId="9" xfId="2" applyFont="1" applyFill="1" applyBorder="1" applyAlignment="1">
      <alignment horizontal="center" vertical="center"/>
    </xf>
    <xf numFmtId="167" fontId="0" fillId="0" borderId="29" xfId="0" applyNumberFormat="1" applyBorder="1" applyAlignment="1">
      <alignment vertical="center"/>
    </xf>
    <xf numFmtId="167" fontId="3" fillId="0" borderId="25" xfId="0" applyNumberFormat="1" applyFont="1" applyBorder="1" applyAlignment="1">
      <alignment horizontal="center" vertical="center"/>
    </xf>
    <xf numFmtId="167" fontId="0" fillId="8" borderId="27" xfId="0" applyNumberFormat="1" applyFill="1" applyBorder="1" applyAlignment="1">
      <alignment vertical="center"/>
    </xf>
    <xf numFmtId="0" fontId="2" fillId="0" borderId="1" xfId="0" applyFont="1" applyBorder="1" applyAlignment="1">
      <alignment horizontal="left" vertical="center"/>
    </xf>
    <xf numFmtId="0" fontId="2" fillId="0" borderId="21" xfId="0" applyFont="1" applyBorder="1" applyAlignment="1">
      <alignment horizontal="center" vertical="center"/>
    </xf>
    <xf numFmtId="167" fontId="2" fillId="0" borderId="27" xfId="0" applyNumberFormat="1" applyFont="1" applyBorder="1" applyAlignment="1">
      <alignment vertical="center"/>
    </xf>
    <xf numFmtId="9" fontId="3" fillId="0" borderId="9" xfId="2" applyFont="1" applyFill="1" applyBorder="1" applyAlignment="1">
      <alignment horizontal="center" vertical="center"/>
    </xf>
    <xf numFmtId="0" fontId="2" fillId="0" borderId="40" xfId="0" applyFont="1" applyBorder="1" applyAlignment="1">
      <alignment horizontal="center" vertical="center"/>
    </xf>
    <xf numFmtId="0" fontId="3" fillId="0" borderId="0" xfId="0" applyFont="1" applyAlignment="1">
      <alignment horizontal="left" vertical="center"/>
    </xf>
    <xf numFmtId="0" fontId="0" fillId="8" borderId="9" xfId="0" applyFill="1" applyBorder="1" applyAlignment="1">
      <alignment horizontal="center" vertical="center"/>
    </xf>
    <xf numFmtId="0" fontId="3" fillId="0" borderId="25" xfId="0" applyFont="1" applyBorder="1" applyAlignment="1">
      <alignment horizontal="center" vertical="center"/>
    </xf>
    <xf numFmtId="0" fontId="3" fillId="0" borderId="21" xfId="0" applyFont="1" applyBorder="1" applyAlignment="1">
      <alignment horizontal="center" vertical="center"/>
    </xf>
    <xf numFmtId="0" fontId="0" fillId="8" borderId="22" xfId="0" applyFill="1" applyBorder="1" applyAlignment="1">
      <alignment vertical="center"/>
    </xf>
    <xf numFmtId="0" fontId="0" fillId="0" borderId="41" xfId="0" applyBorder="1" applyAlignment="1">
      <alignment horizontal="center" vertical="center"/>
    </xf>
    <xf numFmtId="0" fontId="0" fillId="0" borderId="21" xfId="0" applyBorder="1" applyAlignment="1">
      <alignment vertical="center"/>
    </xf>
    <xf numFmtId="9" fontId="0" fillId="0" borderId="40" xfId="2" applyFont="1" applyFill="1" applyBorder="1" applyAlignment="1">
      <alignment vertical="center"/>
    </xf>
    <xf numFmtId="167" fontId="0" fillId="0" borderId="42" xfId="0" applyNumberFormat="1" applyBorder="1" applyAlignment="1">
      <alignment vertical="center"/>
    </xf>
    <xf numFmtId="0" fontId="0" fillId="0" borderId="30" xfId="0" applyBorder="1" applyAlignment="1">
      <alignment horizontal="center" vertical="center"/>
    </xf>
    <xf numFmtId="0" fontId="2" fillId="0" borderId="32" xfId="0" applyFont="1" applyBorder="1" applyAlignment="1">
      <alignment horizontal="left" vertical="center"/>
    </xf>
    <xf numFmtId="0" fontId="15" fillId="0" borderId="32" xfId="0" applyFont="1" applyBorder="1" applyAlignment="1">
      <alignment vertical="center"/>
    </xf>
    <xf numFmtId="167" fontId="2" fillId="0" borderId="31" xfId="0" applyNumberFormat="1" applyFont="1" applyBorder="1" applyAlignment="1">
      <alignment vertical="center"/>
    </xf>
    <xf numFmtId="0" fontId="0" fillId="0" borderId="6" xfId="0" applyBorder="1" applyAlignment="1">
      <alignment vertical="center"/>
    </xf>
    <xf numFmtId="0" fontId="0" fillId="0" borderId="7" xfId="0" applyBorder="1" applyAlignment="1">
      <alignment horizontal="center" vertical="center"/>
    </xf>
    <xf numFmtId="0" fontId="0" fillId="0" borderId="7" xfId="0" applyBorder="1" applyAlignment="1">
      <alignment vertical="center"/>
    </xf>
    <xf numFmtId="167" fontId="0" fillId="0" borderId="7" xfId="0" applyNumberFormat="1" applyBorder="1" applyAlignment="1">
      <alignment vertical="center"/>
    </xf>
    <xf numFmtId="0" fontId="0" fillId="0" borderId="11" xfId="0" applyBorder="1" applyAlignment="1">
      <alignment vertical="center"/>
    </xf>
    <xf numFmtId="173" fontId="6" fillId="9" borderId="43" xfId="1" applyNumberFormat="1" applyFont="1" applyFill="1" applyBorder="1" applyAlignment="1">
      <alignment horizontal="center" vertical="center" wrapText="1"/>
    </xf>
    <xf numFmtId="173" fontId="6" fillId="0" borderId="43" xfId="1" applyNumberFormat="1" applyFont="1" applyFill="1" applyBorder="1" applyAlignment="1">
      <alignment horizontal="center" vertical="center" wrapText="1"/>
    </xf>
    <xf numFmtId="173" fontId="6" fillId="11" borderId="9" xfId="1" applyNumberFormat="1" applyFont="1" applyFill="1" applyBorder="1" applyAlignment="1">
      <alignment horizontal="center" vertical="center" wrapText="1"/>
    </xf>
    <xf numFmtId="167" fontId="9" fillId="3" borderId="22" xfId="0" applyNumberFormat="1" applyFont="1" applyFill="1" applyBorder="1" applyAlignment="1">
      <alignment horizontal="center" vertical="center"/>
    </xf>
    <xf numFmtId="173" fontId="9" fillId="3" borderId="44" xfId="1" applyNumberFormat="1" applyFont="1" applyFill="1" applyBorder="1" applyAlignment="1">
      <alignment horizontal="center" vertical="center" wrapText="1"/>
    </xf>
    <xf numFmtId="167" fontId="0" fillId="9" borderId="22" xfId="0" applyNumberFormat="1" applyFill="1" applyBorder="1" applyAlignment="1">
      <alignment horizontal="center" vertical="center"/>
    </xf>
    <xf numFmtId="167" fontId="0" fillId="0" borderId="22" xfId="0" applyNumberFormat="1" applyBorder="1" applyAlignment="1">
      <alignment horizontal="center" vertical="center"/>
    </xf>
    <xf numFmtId="173" fontId="6" fillId="11" borderId="45" xfId="1" applyNumberFormat="1" applyFont="1" applyFill="1" applyBorder="1" applyAlignment="1">
      <alignment horizontal="center" vertical="center" wrapText="1"/>
    </xf>
    <xf numFmtId="173" fontId="6" fillId="0" borderId="45" xfId="1" applyNumberFormat="1" applyFont="1" applyFill="1" applyBorder="1" applyAlignment="1">
      <alignment horizontal="center" vertical="center" wrapText="1"/>
    </xf>
    <xf numFmtId="169" fontId="23" fillId="9" borderId="1" xfId="0" applyNumberFormat="1" applyFont="1" applyFill="1" applyBorder="1" applyAlignment="1">
      <alignment horizontal="center" vertical="center" wrapText="1"/>
    </xf>
    <xf numFmtId="169" fontId="23" fillId="7" borderId="22" xfId="0" applyNumberFormat="1" applyFont="1" applyFill="1" applyBorder="1" applyAlignment="1">
      <alignment horizontal="center" vertical="center" wrapText="1"/>
    </xf>
    <xf numFmtId="169" fontId="6" fillId="11" borderId="45" xfId="1" applyNumberFormat="1" applyFont="1" applyFill="1" applyBorder="1" applyAlignment="1">
      <alignment horizontal="center" vertical="center" wrapText="1"/>
    </xf>
    <xf numFmtId="167" fontId="0" fillId="0" borderId="46" xfId="0" applyNumberFormat="1" applyBorder="1" applyAlignment="1">
      <alignment horizontal="center" vertical="center"/>
    </xf>
    <xf numFmtId="173" fontId="6" fillId="0" borderId="24" xfId="1" applyNumberFormat="1" applyFont="1" applyFill="1" applyBorder="1" applyAlignment="1">
      <alignment horizontal="center" vertical="center" wrapText="1"/>
    </xf>
    <xf numFmtId="0" fontId="0" fillId="0" borderId="47" xfId="0" applyBorder="1" applyAlignment="1">
      <alignment horizontal="left" vertical="center"/>
    </xf>
    <xf numFmtId="41" fontId="0" fillId="0" borderId="48" xfId="3" applyFont="1" applyBorder="1" applyAlignment="1">
      <alignment vertical="center"/>
    </xf>
    <xf numFmtId="0" fontId="0" fillId="0" borderId="22" xfId="0" applyBorder="1" applyAlignment="1">
      <alignment horizontal="left" vertical="center"/>
    </xf>
    <xf numFmtId="164" fontId="0" fillId="0" borderId="27" xfId="3" applyNumberFormat="1" applyFont="1" applyBorder="1" applyAlignment="1">
      <alignment vertical="center"/>
    </xf>
    <xf numFmtId="41" fontId="0" fillId="0" borderId="27" xfId="3" applyFont="1" applyBorder="1" applyAlignment="1">
      <alignment vertical="center"/>
    </xf>
    <xf numFmtId="0" fontId="0" fillId="0" borderId="22" xfId="0" applyBorder="1" applyAlignment="1">
      <alignment horizontal="center" vertical="center"/>
    </xf>
    <xf numFmtId="167" fontId="0" fillId="0" borderId="27" xfId="0" applyNumberFormat="1" applyBorder="1" applyAlignment="1">
      <alignment vertical="center"/>
    </xf>
    <xf numFmtId="0" fontId="0" fillId="0" borderId="46" xfId="0" applyBorder="1" applyAlignment="1">
      <alignment horizontal="left" vertical="center"/>
    </xf>
    <xf numFmtId="167" fontId="24" fillId="8" borderId="49" xfId="0" applyNumberFormat="1" applyFont="1" applyFill="1" applyBorder="1" applyAlignment="1">
      <alignment horizontal="center" vertical="center"/>
    </xf>
    <xf numFmtId="0" fontId="3" fillId="0" borderId="0" xfId="0" applyFont="1" applyAlignment="1">
      <alignment horizontal="center" vertical="center"/>
    </xf>
    <xf numFmtId="167" fontId="3" fillId="0" borderId="0" xfId="0" applyNumberFormat="1" applyFont="1" applyAlignment="1">
      <alignment vertical="center"/>
    </xf>
    <xf numFmtId="9" fontId="3" fillId="0" borderId="0" xfId="2" applyFont="1" applyFill="1" applyBorder="1" applyAlignment="1">
      <alignment horizontal="center" vertical="center"/>
    </xf>
    <xf numFmtId="9" fontId="0" fillId="0" borderId="0" xfId="2" applyFont="1" applyFill="1" applyBorder="1" applyAlignment="1">
      <alignment vertical="center"/>
    </xf>
    <xf numFmtId="0" fontId="0" fillId="0" borderId="12" xfId="0" applyBorder="1" applyAlignme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center" vertical="center" wrapText="1"/>
    </xf>
    <xf numFmtId="0" fontId="2" fillId="10" borderId="4"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23" xfId="0" applyFont="1" applyFill="1" applyBorder="1" applyAlignment="1">
      <alignment horizontal="center" vertical="center"/>
    </xf>
    <xf numFmtId="0" fontId="0" fillId="0" borderId="25" xfId="0" applyBorder="1" applyAlignment="1">
      <alignment horizontal="left" vertical="center"/>
    </xf>
    <xf numFmtId="0" fontId="0" fillId="0" borderId="1" xfId="0" applyBorder="1" applyAlignment="1">
      <alignment horizontal="left" vertical="center"/>
    </xf>
    <xf numFmtId="0" fontId="0" fillId="0" borderId="35" xfId="0" applyBorder="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3"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3" xfId="0" applyFont="1" applyBorder="1" applyAlignment="1">
      <alignment horizontal="center" vertical="center" wrapText="1"/>
    </xf>
    <xf numFmtId="0" fontId="18" fillId="7" borderId="2" xfId="0" applyFont="1" applyFill="1" applyBorder="1" applyAlignment="1">
      <alignment horizontal="center" vertical="center" wrapText="1"/>
    </xf>
    <xf numFmtId="0" fontId="18" fillId="7" borderId="8" xfId="0" applyFont="1" applyFill="1" applyBorder="1" applyAlignment="1">
      <alignment horizontal="center" vertical="center" wrapText="1"/>
    </xf>
    <xf numFmtId="167" fontId="18" fillId="7" borderId="4" xfId="0" applyNumberFormat="1" applyFont="1" applyFill="1" applyBorder="1" applyAlignment="1">
      <alignment horizontal="center" vertical="center" wrapText="1"/>
    </xf>
    <xf numFmtId="167" fontId="18" fillId="7" borderId="5" xfId="0" applyNumberFormat="1" applyFont="1" applyFill="1" applyBorder="1" applyAlignment="1">
      <alignment horizontal="center" vertical="center" wrapText="1"/>
    </xf>
    <xf numFmtId="167" fontId="18" fillId="7" borderId="23" xfId="0" applyNumberFormat="1"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3" xfId="0" applyFont="1" applyBorder="1" applyAlignment="1">
      <alignment horizontal="center" vertical="center" wrapText="1"/>
    </xf>
    <xf numFmtId="0" fontId="18" fillId="7" borderId="4" xfId="0" applyFont="1" applyFill="1" applyBorder="1" applyAlignment="1">
      <alignment horizontal="center" vertical="center" wrapText="1"/>
    </xf>
    <xf numFmtId="0" fontId="18" fillId="7" borderId="23" xfId="0" applyFont="1" applyFill="1" applyBorder="1" applyAlignment="1">
      <alignment horizontal="center" vertical="center" wrapText="1"/>
    </xf>
    <xf numFmtId="170" fontId="8" fillId="0" borderId="5" xfId="0" applyNumberFormat="1" applyFont="1" applyBorder="1" applyAlignment="1">
      <alignment horizontal="center" vertical="center" wrapText="1"/>
    </xf>
    <xf numFmtId="170" fontId="8" fillId="0" borderId="23" xfId="0" applyNumberFormat="1" applyFont="1" applyBorder="1" applyAlignment="1">
      <alignment horizontal="center" vertical="center" wrapText="1"/>
    </xf>
    <xf numFmtId="0" fontId="19" fillId="3" borderId="4" xfId="0" applyFont="1" applyFill="1" applyBorder="1" applyAlignment="1">
      <alignment horizontal="center" vertical="center" wrapText="1"/>
    </xf>
    <xf numFmtId="0" fontId="19" fillId="3" borderId="23" xfId="0" applyFont="1" applyFill="1" applyBorder="1" applyAlignment="1">
      <alignment horizontal="center" vertical="center" wrapText="1"/>
    </xf>
    <xf numFmtId="167" fontId="19" fillId="3" borderId="4" xfId="0" applyNumberFormat="1" applyFont="1" applyFill="1" applyBorder="1" applyAlignment="1">
      <alignment horizontal="center" vertical="center" wrapText="1"/>
    </xf>
    <xf numFmtId="167" fontId="19" fillId="3" borderId="5" xfId="0" applyNumberFormat="1" applyFont="1" applyFill="1" applyBorder="1" applyAlignment="1">
      <alignment horizontal="center" vertical="center" wrapText="1"/>
    </xf>
    <xf numFmtId="167" fontId="19" fillId="3" borderId="23" xfId="0" applyNumberFormat="1" applyFont="1" applyFill="1" applyBorder="1" applyAlignment="1">
      <alignment horizontal="center" vertical="center" wrapText="1"/>
    </xf>
    <xf numFmtId="169" fontId="3" fillId="6" borderId="4" xfId="1" applyNumberFormat="1" applyFont="1" applyFill="1" applyBorder="1" applyAlignment="1">
      <alignment horizontal="center" vertical="center"/>
    </xf>
    <xf numFmtId="169" fontId="3" fillId="6" borderId="23" xfId="1" applyNumberFormat="1" applyFont="1" applyFill="1" applyBorder="1" applyAlignment="1">
      <alignment horizontal="center" vertical="center"/>
    </xf>
    <xf numFmtId="0" fontId="0" fillId="6" borderId="0" xfId="0" applyFill="1" applyAlignment="1">
      <alignment horizontal="left" vertical="center" wrapText="1"/>
    </xf>
    <xf numFmtId="0" fontId="0" fillId="6" borderId="11" xfId="0" applyFill="1" applyBorder="1" applyAlignment="1">
      <alignment horizontal="left" vertical="center" wrapText="1"/>
    </xf>
    <xf numFmtId="168" fontId="22" fillId="6" borderId="7" xfId="3" applyNumberFormat="1" applyFont="1" applyFill="1" applyBorder="1" applyAlignment="1">
      <alignment horizontal="left" vertical="center"/>
    </xf>
    <xf numFmtId="168" fontId="22" fillId="6" borderId="12" xfId="3" applyNumberFormat="1" applyFont="1" applyFill="1" applyBorder="1" applyAlignment="1">
      <alignment horizontal="lef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12" xfId="0" applyFont="1" applyBorder="1" applyAlignment="1">
      <alignment horizontal="left" vertical="center" wrapText="1"/>
    </xf>
    <xf numFmtId="169" fontId="6" fillId="0" borderId="4" xfId="1" applyNumberFormat="1" applyFont="1" applyFill="1" applyBorder="1" applyAlignment="1">
      <alignment horizontal="right" vertical="center"/>
    </xf>
    <xf numFmtId="169" fontId="6" fillId="0" borderId="5" xfId="1" applyNumberFormat="1" applyFont="1" applyFill="1" applyBorder="1" applyAlignment="1">
      <alignment horizontal="right" vertical="center"/>
    </xf>
    <xf numFmtId="169" fontId="6" fillId="0" borderId="23" xfId="1" applyNumberFormat="1" applyFont="1" applyFill="1" applyBorder="1" applyAlignment="1">
      <alignment horizontal="right" vertical="center"/>
    </xf>
    <xf numFmtId="0" fontId="6" fillId="7" borderId="4" xfId="4" applyFont="1" applyFill="1" applyBorder="1" applyAlignment="1">
      <alignment horizontal="center" vertical="center"/>
    </xf>
    <xf numFmtId="0" fontId="6" fillId="7" borderId="23" xfId="4" applyFont="1" applyFill="1" applyBorder="1" applyAlignment="1">
      <alignment horizontal="center" vertical="center"/>
    </xf>
    <xf numFmtId="169" fontId="3" fillId="7" borderId="30" xfId="1" applyNumberFormat="1" applyFont="1" applyFill="1" applyBorder="1" applyAlignment="1">
      <alignment horizontal="center" vertical="center"/>
    </xf>
    <xf numFmtId="169" fontId="3" fillId="7" borderId="31" xfId="1" applyNumberFormat="1" applyFont="1" applyFill="1" applyBorder="1" applyAlignment="1">
      <alignment horizontal="center" vertical="center"/>
    </xf>
  </cellXfs>
  <cellStyles count="7">
    <cellStyle name="Comma [0]" xfId="3" builtinId="6"/>
    <cellStyle name="Currency" xfId="1" builtinId="4"/>
    <cellStyle name="Normal" xfId="0" builtinId="0"/>
    <cellStyle name="Normal 2" xfId="4" xr:uid="{00000000-0005-0000-0000-000031000000}"/>
    <cellStyle name="Normal 4" xfId="5" xr:uid="{00000000-0005-0000-0000-000032000000}"/>
    <cellStyle name="Note 2" xfId="6" xr:uid="{00000000-0005-0000-0000-000033000000}"/>
    <cellStyle name="Percent" xfId="2" builtinId="5"/>
  </cellStyles>
  <dxfs count="0"/>
  <tableStyles count="0" defaultTableStyle="TableStyleMedium2" defaultPivotStyle="PivotStyleLight16"/>
  <colors>
    <mruColors>
      <color rgb="FF09B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46"/>
  <sheetViews>
    <sheetView view="pageBreakPreview" zoomScale="70" zoomScaleNormal="85" workbookViewId="0">
      <pane ySplit="1" topLeftCell="A2" activePane="bottomLeft" state="frozen"/>
      <selection pane="bottomLeft" activeCell="C6" sqref="C6"/>
    </sheetView>
  </sheetViews>
  <sheetFormatPr defaultColWidth="9.109375" defaultRowHeight="14.4"/>
  <cols>
    <col min="1" max="1" width="9.6640625" style="2" customWidth="1"/>
    <col min="2" max="2" width="15.33203125" style="3" customWidth="1"/>
    <col min="3" max="3" width="52.5546875" style="2" customWidth="1"/>
    <col min="4" max="4" width="15.88671875" style="2" customWidth="1"/>
    <col min="5" max="5" width="15.6640625" style="150" customWidth="1"/>
    <col min="6" max="6" width="14.6640625" style="150" customWidth="1"/>
    <col min="7" max="7" width="14.33203125" style="150" customWidth="1"/>
    <col min="8" max="8" width="16.88671875" style="150" customWidth="1"/>
    <col min="9" max="9" width="14.33203125" style="150" customWidth="1"/>
    <col min="10" max="11" width="15.44140625" style="150" customWidth="1"/>
    <col min="12" max="13" width="19.109375" style="150" customWidth="1"/>
    <col min="14" max="14" width="10.6640625" style="2" customWidth="1"/>
    <col min="15" max="16384" width="9.109375" style="2"/>
  </cols>
  <sheetData>
    <row r="1" spans="1:17" ht="37.5" customHeight="1">
      <c r="A1" s="231" t="str">
        <f>Worksheet!E1</f>
        <v>JUICI PATTIES</v>
      </c>
      <c r="B1" s="232"/>
      <c r="C1" s="232"/>
      <c r="D1" s="232"/>
      <c r="E1" s="232"/>
      <c r="F1" s="232"/>
      <c r="G1" s="232"/>
      <c r="H1" s="232"/>
      <c r="I1" s="232"/>
      <c r="J1" s="232"/>
      <c r="K1" s="232"/>
      <c r="L1" s="232"/>
      <c r="M1" s="233"/>
      <c r="N1" s="202"/>
    </row>
    <row r="2" spans="1:17">
      <c r="A2" s="151"/>
      <c r="N2" s="202"/>
    </row>
    <row r="3" spans="1:17" ht="30" customHeight="1">
      <c r="A3" s="151"/>
      <c r="B3" s="234" t="s">
        <v>0</v>
      </c>
      <c r="C3" s="235"/>
      <c r="D3" s="235"/>
      <c r="E3" s="235"/>
      <c r="F3" s="235"/>
      <c r="G3" s="235"/>
      <c r="H3" s="235"/>
      <c r="I3" s="235"/>
      <c r="J3" s="235"/>
      <c r="K3" s="235"/>
      <c r="L3" s="235"/>
      <c r="M3" s="236"/>
      <c r="N3" s="202"/>
    </row>
    <row r="4" spans="1:17" ht="28.8">
      <c r="A4" s="151"/>
      <c r="B4" s="152" t="s">
        <v>1</v>
      </c>
      <c r="C4" s="153" t="s">
        <v>2</v>
      </c>
      <c r="D4" s="154" t="s">
        <v>3</v>
      </c>
      <c r="E4" s="155" t="s">
        <v>4</v>
      </c>
      <c r="F4" s="155" t="s">
        <v>5</v>
      </c>
      <c r="G4" s="155" t="s">
        <v>6</v>
      </c>
      <c r="H4" s="155" t="s">
        <v>7</v>
      </c>
      <c r="I4" s="155" t="s">
        <v>8</v>
      </c>
      <c r="J4" s="155" t="s">
        <v>9</v>
      </c>
      <c r="K4" s="203" t="s">
        <v>10</v>
      </c>
      <c r="L4" s="204" t="s">
        <v>11</v>
      </c>
      <c r="M4" s="205" t="s">
        <v>12</v>
      </c>
      <c r="N4" s="202"/>
    </row>
    <row r="5" spans="1:17" ht="20.100000000000001" customHeight="1">
      <c r="A5" s="151"/>
      <c r="B5" s="156"/>
      <c r="C5" s="157" t="str">
        <f>Worksheet!E7</f>
        <v>FACILITY CONSTRUCTION SUBGROUP WORK</v>
      </c>
      <c r="D5" s="158"/>
      <c r="E5" s="158"/>
      <c r="F5" s="159"/>
      <c r="G5" s="159"/>
      <c r="H5" s="159"/>
      <c r="I5" s="159"/>
      <c r="J5" s="159"/>
      <c r="K5" s="206"/>
      <c r="L5" s="206"/>
      <c r="M5" s="207"/>
      <c r="N5" s="202"/>
      <c r="O5" s="150"/>
      <c r="P5" s="150"/>
      <c r="Q5" s="150"/>
    </row>
    <row r="6" spans="1:17" ht="25.2" customHeight="1">
      <c r="A6" s="151"/>
      <c r="B6" s="160" t="str">
        <f>Worksheet!D8</f>
        <v>02 00 00</v>
      </c>
      <c r="C6" s="98" t="str">
        <f>Worksheet!E8</f>
        <v>EXISTING CONDITIONS</v>
      </c>
      <c r="D6" s="161">
        <f>Worksheet!J27</f>
        <v>9.03294</v>
      </c>
      <c r="E6" s="161">
        <f>Worksheet!M27</f>
        <v>13140.641771406999</v>
      </c>
      <c r="F6" s="162">
        <f t="shared" ref="F6:F16" si="0">D6*$D$23</f>
        <v>0.80212507200000005</v>
      </c>
      <c r="G6" s="162">
        <f t="shared" ref="G6:G16" si="1">E6*$D$26</f>
        <v>657.03208857034997</v>
      </c>
      <c r="H6" s="162">
        <f t="shared" ref="H6:H16" si="2">D6+E6+F6+G6</f>
        <v>13807.5089250493</v>
      </c>
      <c r="I6" s="162">
        <f t="shared" ref="I6:I16" si="3">H6*$D$28</f>
        <v>1380.7508925049301</v>
      </c>
      <c r="J6" s="162">
        <f t="shared" ref="J6:J16" si="4">H6*$D$29</f>
        <v>1380.7508925049301</v>
      </c>
      <c r="K6" s="208">
        <f>SUM(H6:J6)*$D$31</f>
        <v>248.535160650888</v>
      </c>
      <c r="L6" s="209">
        <f t="shared" ref="L6:L16" si="5">H6+I6+J6+K6</f>
        <v>16817.545870710099</v>
      </c>
      <c r="M6" s="210"/>
      <c r="N6" s="202"/>
      <c r="O6" s="150"/>
      <c r="P6" s="150"/>
      <c r="Q6" s="150"/>
    </row>
    <row r="7" spans="1:17" ht="25.2" customHeight="1">
      <c r="A7" s="151"/>
      <c r="B7" s="160" t="str">
        <f>Worksheet!D29</f>
        <v>06 00 00</v>
      </c>
      <c r="C7" s="98" t="str">
        <f>Worksheet!E29</f>
        <v>WOOD, PLASTICS, AND COMPOSITES MANUFACTURERS</v>
      </c>
      <c r="D7" s="161">
        <f>Worksheet!J37</f>
        <v>7581.5297333999997</v>
      </c>
      <c r="E7" s="161">
        <f>Worksheet!M37</f>
        <v>2992.6012290279</v>
      </c>
      <c r="F7" s="162">
        <f t="shared" si="0"/>
        <v>673.23984032592</v>
      </c>
      <c r="G7" s="162">
        <f t="shared" si="1"/>
        <v>149.63006145139499</v>
      </c>
      <c r="H7" s="162">
        <f t="shared" si="2"/>
        <v>11397.0008642052</v>
      </c>
      <c r="I7" s="162">
        <f t="shared" si="3"/>
        <v>1139.7000864205199</v>
      </c>
      <c r="J7" s="162">
        <f t="shared" si="4"/>
        <v>1139.7000864205199</v>
      </c>
      <c r="K7" s="208">
        <f t="shared" ref="K7:K16" si="6">SUM(H7:J7)*$D$31</f>
        <v>205.14601555569399</v>
      </c>
      <c r="L7" s="209">
        <f t="shared" si="5"/>
        <v>13881.547052602</v>
      </c>
      <c r="M7" s="210"/>
      <c r="N7" s="202"/>
      <c r="O7" s="150"/>
      <c r="P7" s="150"/>
      <c r="Q7" s="150"/>
    </row>
    <row r="8" spans="1:17" ht="25.2" customHeight="1">
      <c r="A8" s="151"/>
      <c r="B8" s="160" t="str">
        <f>Worksheet!D39</f>
        <v>08 00 00</v>
      </c>
      <c r="C8" s="98" t="str">
        <f>Worksheet!E39</f>
        <v>OPENINGS</v>
      </c>
      <c r="D8" s="161">
        <f>Worksheet!J49</f>
        <v>1791.58</v>
      </c>
      <c r="E8" s="161">
        <f>Worksheet!M49</f>
        <v>1490.4978038500001</v>
      </c>
      <c r="F8" s="162">
        <f t="shared" si="0"/>
        <v>159.09230400000001</v>
      </c>
      <c r="G8" s="162">
        <f t="shared" si="1"/>
        <v>74.524890192499996</v>
      </c>
      <c r="H8" s="162">
        <f t="shared" si="2"/>
        <v>3515.6949980425002</v>
      </c>
      <c r="I8" s="162">
        <f t="shared" si="3"/>
        <v>351.56949980424997</v>
      </c>
      <c r="J8" s="162">
        <f t="shared" si="4"/>
        <v>351.56949980424997</v>
      </c>
      <c r="K8" s="208">
        <f t="shared" si="6"/>
        <v>63.282509964764998</v>
      </c>
      <c r="L8" s="209">
        <f t="shared" si="5"/>
        <v>4282.1165076157704</v>
      </c>
      <c r="M8" s="210"/>
      <c r="N8" s="202"/>
      <c r="O8" s="150"/>
      <c r="P8" s="150"/>
      <c r="Q8" s="150"/>
    </row>
    <row r="9" spans="1:17" ht="25.2" customHeight="1">
      <c r="A9" s="151"/>
      <c r="B9" s="160" t="str">
        <f>Worksheet!D51</f>
        <v>09 00 00</v>
      </c>
      <c r="C9" s="98" t="str">
        <f>Worksheet!E51</f>
        <v>FINISHES</v>
      </c>
      <c r="D9" s="161">
        <f>Worksheet!J145</f>
        <v>15151.221871625599</v>
      </c>
      <c r="E9" s="161">
        <f>Worksheet!M145</f>
        <v>24056.577360365402</v>
      </c>
      <c r="F9" s="162">
        <f t="shared" si="0"/>
        <v>1345.4285022003501</v>
      </c>
      <c r="G9" s="162">
        <f t="shared" si="1"/>
        <v>1202.82886801827</v>
      </c>
      <c r="H9" s="162">
        <f t="shared" si="2"/>
        <v>41756.056602209501</v>
      </c>
      <c r="I9" s="162">
        <f t="shared" si="3"/>
        <v>4175.6056602209501</v>
      </c>
      <c r="J9" s="162">
        <f t="shared" si="4"/>
        <v>4175.6056602209501</v>
      </c>
      <c r="K9" s="208">
        <f t="shared" si="6"/>
        <v>751.60901883977101</v>
      </c>
      <c r="L9" s="209">
        <f t="shared" si="5"/>
        <v>50858.876941491202</v>
      </c>
      <c r="M9" s="210"/>
      <c r="N9" s="202"/>
      <c r="O9" s="150"/>
      <c r="P9" s="150"/>
      <c r="Q9" s="150"/>
    </row>
    <row r="10" spans="1:17" ht="25.2" customHeight="1">
      <c r="A10" s="151"/>
      <c r="B10" s="160" t="str">
        <f>Worksheet!D147</f>
        <v>10 00 00</v>
      </c>
      <c r="C10" s="98" t="str">
        <f>Worksheet!E147</f>
        <v>SPECIALTIES</v>
      </c>
      <c r="D10" s="161">
        <f>Worksheet!J161</f>
        <v>2380.7377999999999</v>
      </c>
      <c r="E10" s="161">
        <f>Worksheet!M161</f>
        <v>1096.7270234499999</v>
      </c>
      <c r="F10" s="162">
        <f t="shared" si="0"/>
        <v>211.40951663999999</v>
      </c>
      <c r="G10" s="162">
        <f t="shared" si="1"/>
        <v>54.836351172500002</v>
      </c>
      <c r="H10" s="162">
        <f t="shared" si="2"/>
        <v>3743.7106912624999</v>
      </c>
      <c r="I10" s="162">
        <f t="shared" si="3"/>
        <v>374.37106912625001</v>
      </c>
      <c r="J10" s="162">
        <f t="shared" si="4"/>
        <v>374.37106912625001</v>
      </c>
      <c r="K10" s="208">
        <f t="shared" si="6"/>
        <v>67.386792442724996</v>
      </c>
      <c r="L10" s="209">
        <f t="shared" si="5"/>
        <v>4559.8396219577298</v>
      </c>
      <c r="M10" s="210"/>
      <c r="N10" s="202"/>
      <c r="O10" s="150"/>
      <c r="P10" s="150"/>
      <c r="Q10" s="150"/>
    </row>
    <row r="11" spans="1:17" ht="25.2" customHeight="1">
      <c r="A11" s="151"/>
      <c r="B11" s="160" t="str">
        <f>Worksheet!D163</f>
        <v>11 00 00</v>
      </c>
      <c r="C11" s="98" t="str">
        <f>Worksheet!E163</f>
        <v>EQUIPMENTS</v>
      </c>
      <c r="D11" s="161">
        <f>Worksheet!J208</f>
        <v>188339.07834000001</v>
      </c>
      <c r="E11" s="161">
        <f>Worksheet!M208</f>
        <v>15796.665679899999</v>
      </c>
      <c r="F11" s="162">
        <f t="shared" si="0"/>
        <v>16724.510156592001</v>
      </c>
      <c r="G11" s="162">
        <f t="shared" si="1"/>
        <v>789.83328399499999</v>
      </c>
      <c r="H11" s="162">
        <f t="shared" si="2"/>
        <v>221650.087460487</v>
      </c>
      <c r="I11" s="162">
        <f t="shared" si="3"/>
        <v>22165.008746048701</v>
      </c>
      <c r="J11" s="162">
        <f t="shared" si="4"/>
        <v>22165.008746048701</v>
      </c>
      <c r="K11" s="208">
        <f t="shared" si="6"/>
        <v>3989.7015742887602</v>
      </c>
      <c r="L11" s="209">
        <f t="shared" si="5"/>
        <v>269969.80652687303</v>
      </c>
      <c r="M11" s="210"/>
      <c r="N11" s="202"/>
      <c r="O11" s="150"/>
      <c r="P11" s="150"/>
      <c r="Q11" s="150"/>
    </row>
    <row r="12" spans="1:17" ht="25.2" customHeight="1">
      <c r="A12" s="151"/>
      <c r="B12" s="160" t="str">
        <f>Worksheet!D210</f>
        <v>12 00 00</v>
      </c>
      <c r="C12" s="98" t="str">
        <f>Worksheet!E210</f>
        <v>FURNISHINGS</v>
      </c>
      <c r="D12" s="161">
        <f>Worksheet!J220</f>
        <v>10017.091476</v>
      </c>
      <c r="E12" s="161">
        <f>Worksheet!M220</f>
        <v>4149.8786529999998</v>
      </c>
      <c r="F12" s="162">
        <f t="shared" si="0"/>
        <v>889.51772306880002</v>
      </c>
      <c r="G12" s="162">
        <f t="shared" si="1"/>
        <v>207.49393265</v>
      </c>
      <c r="H12" s="162">
        <f t="shared" si="2"/>
        <v>15263.981784718801</v>
      </c>
      <c r="I12" s="162">
        <f t="shared" si="3"/>
        <v>1526.3981784718801</v>
      </c>
      <c r="J12" s="162">
        <f t="shared" si="4"/>
        <v>1526.3981784718801</v>
      </c>
      <c r="K12" s="208">
        <f t="shared" si="6"/>
        <v>274.75167212493801</v>
      </c>
      <c r="L12" s="209">
        <f t="shared" si="5"/>
        <v>18591.5298137875</v>
      </c>
      <c r="M12" s="210"/>
      <c r="N12" s="202"/>
      <c r="O12" s="150"/>
      <c r="P12" s="150"/>
      <c r="Q12" s="150"/>
    </row>
    <row r="13" spans="1:17" ht="25.2" customHeight="1">
      <c r="A13" s="151"/>
      <c r="B13" s="160" t="str">
        <f>Worksheet!D222</f>
        <v>22 00 00</v>
      </c>
      <c r="C13" s="98" t="str">
        <f>Worksheet!E222</f>
        <v>PLUMBING</v>
      </c>
      <c r="D13" s="161">
        <f>Worksheet!J307</f>
        <v>31836.065653000001</v>
      </c>
      <c r="E13" s="161">
        <f>Worksheet!M307</f>
        <v>37929.092918437498</v>
      </c>
      <c r="F13" s="162">
        <f t="shared" si="0"/>
        <v>2827.0426299863998</v>
      </c>
      <c r="G13" s="162">
        <f t="shared" si="1"/>
        <v>1896.45464592187</v>
      </c>
      <c r="H13" s="162">
        <f t="shared" si="2"/>
        <v>74488.655847345799</v>
      </c>
      <c r="I13" s="162">
        <f t="shared" si="3"/>
        <v>7448.8655847345799</v>
      </c>
      <c r="J13" s="162">
        <f t="shared" si="4"/>
        <v>7448.8655847345799</v>
      </c>
      <c r="K13" s="208">
        <f t="shared" si="6"/>
        <v>1340.7958052522199</v>
      </c>
      <c r="L13" s="209">
        <f t="shared" si="5"/>
        <v>90727.182822067203</v>
      </c>
      <c r="M13" s="210"/>
      <c r="N13" s="202"/>
      <c r="O13" s="150"/>
      <c r="P13" s="150"/>
      <c r="Q13" s="150"/>
    </row>
    <row r="14" spans="1:17" ht="25.2" customHeight="1">
      <c r="A14" s="151"/>
      <c r="B14" s="160" t="str">
        <f>Worksheet!D309</f>
        <v>23 00 00</v>
      </c>
      <c r="C14" s="98" t="str">
        <f>Worksheet!E309</f>
        <v>HEATING, VENTILATION &amp; AIR CONDITIONING</v>
      </c>
      <c r="D14" s="161">
        <f>Worksheet!J370</f>
        <v>27677.594096850698</v>
      </c>
      <c r="E14" s="161">
        <f>Worksheet!M370</f>
        <v>14866.622835432499</v>
      </c>
      <c r="F14" s="162">
        <f t="shared" si="0"/>
        <v>2457.77035580034</v>
      </c>
      <c r="G14" s="162">
        <f t="shared" si="1"/>
        <v>743.33114177162304</v>
      </c>
      <c r="H14" s="162">
        <f t="shared" si="2"/>
        <v>45745.318429855099</v>
      </c>
      <c r="I14" s="162">
        <f t="shared" si="3"/>
        <v>4574.5318429855097</v>
      </c>
      <c r="J14" s="162">
        <f t="shared" si="4"/>
        <v>4574.5318429855097</v>
      </c>
      <c r="K14" s="208">
        <f t="shared" si="6"/>
        <v>823.41573173739198</v>
      </c>
      <c r="L14" s="209">
        <f t="shared" si="5"/>
        <v>55717.797847563503</v>
      </c>
      <c r="M14" s="210"/>
      <c r="N14" s="202"/>
      <c r="O14" s="150"/>
      <c r="P14" s="150"/>
      <c r="Q14" s="150"/>
    </row>
    <row r="15" spans="1:17" ht="25.2" customHeight="1">
      <c r="A15" s="151"/>
      <c r="B15" s="160" t="str">
        <f>Worksheet!D372</f>
        <v>26 00 00</v>
      </c>
      <c r="C15" s="98" t="str">
        <f>Worksheet!E372</f>
        <v>ELECTRICAL</v>
      </c>
      <c r="D15" s="161">
        <f>Worksheet!J447</f>
        <v>48414.126166000002</v>
      </c>
      <c r="E15" s="161">
        <f>Worksheet!M447</f>
        <v>47651.875500920003</v>
      </c>
      <c r="F15" s="162">
        <f t="shared" si="0"/>
        <v>4299.1744035408001</v>
      </c>
      <c r="G15" s="162">
        <f t="shared" si="1"/>
        <v>2382.5937750459998</v>
      </c>
      <c r="H15" s="162">
        <f t="shared" si="2"/>
        <v>102747.76984550701</v>
      </c>
      <c r="I15" s="162">
        <f t="shared" si="3"/>
        <v>10274.776984550699</v>
      </c>
      <c r="J15" s="162">
        <f t="shared" si="4"/>
        <v>10274.776984550699</v>
      </c>
      <c r="K15" s="208">
        <f t="shared" si="6"/>
        <v>1849.4598572191201</v>
      </c>
      <c r="L15" s="209">
        <f t="shared" si="5"/>
        <v>125146.783671827</v>
      </c>
      <c r="M15" s="210"/>
      <c r="N15" s="202"/>
      <c r="O15" s="150"/>
      <c r="P15" s="150"/>
      <c r="Q15" s="150"/>
    </row>
    <row r="16" spans="1:17" ht="25.2" customHeight="1">
      <c r="A16" s="151"/>
      <c r="B16" s="160" t="str">
        <f>Worksheet!D449</f>
        <v>27 00 00</v>
      </c>
      <c r="C16" s="98" t="str">
        <f>Worksheet!E449</f>
        <v>COMMUNICATIONS</v>
      </c>
      <c r="D16" s="161">
        <f>Worksheet!J456</f>
        <v>646.1413</v>
      </c>
      <c r="E16" s="161">
        <f>Worksheet!M456</f>
        <v>1118.297907575</v>
      </c>
      <c r="F16" s="162">
        <f t="shared" si="0"/>
        <v>57.377347440000001</v>
      </c>
      <c r="G16" s="162">
        <f t="shared" si="1"/>
        <v>55.914895378750003</v>
      </c>
      <c r="H16" s="162">
        <f t="shared" si="2"/>
        <v>1877.73145039375</v>
      </c>
      <c r="I16" s="162">
        <f t="shared" si="3"/>
        <v>187.77314503937501</v>
      </c>
      <c r="J16" s="162">
        <f t="shared" si="4"/>
        <v>187.77314503937501</v>
      </c>
      <c r="K16" s="208">
        <f t="shared" si="6"/>
        <v>33.799166107087501</v>
      </c>
      <c r="L16" s="209">
        <f t="shared" si="5"/>
        <v>2287.0769065795898</v>
      </c>
      <c r="M16" s="210"/>
      <c r="N16" s="202"/>
      <c r="O16" s="150"/>
      <c r="P16" s="150"/>
      <c r="Q16" s="150"/>
    </row>
    <row r="17" spans="1:17" ht="20.100000000000001" customHeight="1">
      <c r="A17" s="151"/>
      <c r="B17" s="163"/>
      <c r="C17" s="98"/>
      <c r="D17" s="161"/>
      <c r="E17" s="162"/>
      <c r="F17" s="162"/>
      <c r="G17" s="162"/>
      <c r="H17" s="162"/>
      <c r="I17" s="162"/>
      <c r="J17" s="162"/>
      <c r="K17" s="162"/>
      <c r="L17" s="209"/>
      <c r="M17" s="211"/>
      <c r="N17" s="202"/>
      <c r="O17" s="150"/>
      <c r="P17" s="150"/>
      <c r="Q17" s="150"/>
    </row>
    <row r="18" spans="1:17" ht="20.100000000000001" customHeight="1">
      <c r="A18" s="151"/>
      <c r="B18" s="164"/>
      <c r="C18" s="165" t="s">
        <v>13</v>
      </c>
      <c r="D18" s="166">
        <f t="shared" ref="D18:L18" si="7">SUM(D5:D17)</f>
        <v>333844.199376876</v>
      </c>
      <c r="E18" s="166">
        <f t="shared" si="7"/>
        <v>164289.47868336501</v>
      </c>
      <c r="F18" s="166">
        <f t="shared" si="7"/>
        <v>29645.3649046666</v>
      </c>
      <c r="G18" s="166">
        <f t="shared" si="7"/>
        <v>8214.4739341682598</v>
      </c>
      <c r="H18" s="166">
        <f t="shared" si="7"/>
        <v>535993.51689907606</v>
      </c>
      <c r="I18" s="166">
        <f t="shared" si="7"/>
        <v>53599.351689907598</v>
      </c>
      <c r="J18" s="166">
        <f t="shared" si="7"/>
        <v>53599.351689907598</v>
      </c>
      <c r="K18" s="212">
        <f t="shared" si="7"/>
        <v>9647.8833041833695</v>
      </c>
      <c r="L18" s="213">
        <f t="shared" si="7"/>
        <v>652840.10358307499</v>
      </c>
      <c r="M18" s="214"/>
      <c r="N18" s="202"/>
      <c r="O18" s="150"/>
      <c r="P18" s="150"/>
      <c r="Q18" s="150"/>
    </row>
    <row r="19" spans="1:17" ht="20.100000000000001" customHeight="1">
      <c r="A19" s="151"/>
      <c r="B19" s="167"/>
      <c r="C19" s="168"/>
      <c r="D19" s="169"/>
      <c r="E19" s="169"/>
      <c r="F19" s="169"/>
      <c r="G19" s="169"/>
      <c r="H19" s="169"/>
      <c r="I19" s="169"/>
      <c r="J19" s="169"/>
      <c r="K19" s="215"/>
      <c r="L19" s="215"/>
      <c r="M19" s="216"/>
      <c r="N19" s="202"/>
    </row>
    <row r="20" spans="1:17">
      <c r="A20" s="151"/>
      <c r="M20" s="2"/>
      <c r="N20" s="202"/>
    </row>
    <row r="21" spans="1:17" ht="30" customHeight="1">
      <c r="A21" s="151"/>
      <c r="B21" s="234" t="s">
        <v>14</v>
      </c>
      <c r="C21" s="235"/>
      <c r="D21" s="235"/>
      <c r="E21" s="236"/>
      <c r="F21" s="2"/>
      <c r="G21" s="234" t="s">
        <v>15</v>
      </c>
      <c r="H21" s="235"/>
      <c r="I21" s="235"/>
      <c r="J21" s="235"/>
      <c r="K21" s="235"/>
      <c r="L21" s="236"/>
      <c r="M21" s="2"/>
      <c r="N21" s="202"/>
    </row>
    <row r="22" spans="1:17" ht="25.2" customHeight="1">
      <c r="A22" s="151"/>
      <c r="B22" s="170">
        <v>1</v>
      </c>
      <c r="C22" s="171" t="s">
        <v>16</v>
      </c>
      <c r="D22" s="172"/>
      <c r="E22" s="173">
        <f>D18</f>
        <v>333844.199376876</v>
      </c>
      <c r="F22" s="2"/>
      <c r="G22" s="174">
        <v>1</v>
      </c>
      <c r="H22" s="237" t="s">
        <v>17</v>
      </c>
      <c r="I22" s="237"/>
      <c r="J22" s="237"/>
      <c r="K22" s="217"/>
      <c r="L22" s="218">
        <f>Worksheet!P$458</f>
        <v>0</v>
      </c>
      <c r="M22" s="2"/>
      <c r="N22" s="202"/>
    </row>
    <row r="23" spans="1:17" ht="25.2" customHeight="1">
      <c r="A23" s="151"/>
      <c r="B23" s="163"/>
      <c r="C23" s="175" t="s">
        <v>18</v>
      </c>
      <c r="D23" s="176">
        <v>8.8800000000000004E-2</v>
      </c>
      <c r="E23" s="177">
        <f>E22*D23</f>
        <v>29645.3649046666</v>
      </c>
      <c r="F23" s="2"/>
      <c r="G23" s="163">
        <v>2</v>
      </c>
      <c r="H23" s="238" t="s">
        <v>19</v>
      </c>
      <c r="I23" s="238"/>
      <c r="J23" s="238"/>
      <c r="K23" s="219"/>
      <c r="L23" s="220">
        <f>L22/8</f>
        <v>0</v>
      </c>
      <c r="M23" s="2"/>
      <c r="N23" s="202"/>
    </row>
    <row r="24" spans="1:17" ht="25.2" customHeight="1">
      <c r="A24" s="151"/>
      <c r="B24" s="163"/>
      <c r="C24" s="5" t="s">
        <v>20</v>
      </c>
      <c r="D24" s="178"/>
      <c r="E24" s="179"/>
      <c r="F24" s="2"/>
      <c r="G24" s="163">
        <v>3</v>
      </c>
      <c r="H24" s="238" t="s">
        <v>21</v>
      </c>
      <c r="I24" s="238"/>
      <c r="J24" s="238"/>
      <c r="K24" s="219"/>
      <c r="L24" s="221">
        <f>J25+J26+J27</f>
        <v>5</v>
      </c>
      <c r="M24" s="2"/>
      <c r="N24" s="202"/>
    </row>
    <row r="25" spans="1:17" ht="25.2" customHeight="1">
      <c r="A25" s="151"/>
      <c r="B25" s="163">
        <v>2</v>
      </c>
      <c r="C25" s="180" t="s">
        <v>22</v>
      </c>
      <c r="D25" s="181"/>
      <c r="E25" s="182">
        <f>E18</f>
        <v>164289.47868336501</v>
      </c>
      <c r="F25" s="2"/>
      <c r="G25" s="163">
        <v>4</v>
      </c>
      <c r="H25" s="238" t="s">
        <v>23</v>
      </c>
      <c r="I25" s="238"/>
      <c r="J25" s="6">
        <v>3</v>
      </c>
      <c r="K25" s="222"/>
      <c r="L25" s="223"/>
      <c r="M25" s="2"/>
      <c r="N25" s="202"/>
      <c r="O25" s="150"/>
      <c r="P25" s="150"/>
      <c r="Q25" s="150"/>
    </row>
    <row r="26" spans="1:17" ht="25.2" customHeight="1">
      <c r="A26" s="151"/>
      <c r="B26" s="163"/>
      <c r="C26" s="175" t="s">
        <v>6</v>
      </c>
      <c r="D26" s="176">
        <v>0.05</v>
      </c>
      <c r="E26" s="177">
        <f>E25*D26</f>
        <v>8214.4739341682598</v>
      </c>
      <c r="F26" s="2"/>
      <c r="G26" s="163">
        <v>5</v>
      </c>
      <c r="H26" s="238" t="s">
        <v>24</v>
      </c>
      <c r="I26" s="238"/>
      <c r="J26" s="6">
        <v>1</v>
      </c>
      <c r="K26" s="222"/>
      <c r="L26" s="223"/>
      <c r="M26" s="2"/>
      <c r="N26" s="202"/>
      <c r="O26" s="150"/>
      <c r="P26" s="150"/>
      <c r="Q26" s="150"/>
    </row>
    <row r="27" spans="1:17" ht="25.2" customHeight="1">
      <c r="A27" s="151"/>
      <c r="B27" s="163">
        <v>3</v>
      </c>
      <c r="C27" s="180" t="s">
        <v>7</v>
      </c>
      <c r="D27" s="181"/>
      <c r="E27" s="182">
        <f>SUM(E22:E26)</f>
        <v>535993.51689907606</v>
      </c>
      <c r="F27" s="2"/>
      <c r="G27" s="163">
        <v>6</v>
      </c>
      <c r="H27" s="238" t="s">
        <v>25</v>
      </c>
      <c r="I27" s="238"/>
      <c r="J27" s="6">
        <v>1</v>
      </c>
      <c r="K27" s="222"/>
      <c r="L27" s="223"/>
      <c r="M27" s="2"/>
      <c r="N27" s="202"/>
      <c r="O27" s="150"/>
      <c r="P27" s="150"/>
      <c r="Q27" s="150"/>
    </row>
    <row r="28" spans="1:17" ht="25.2" customHeight="1">
      <c r="A28" s="151"/>
      <c r="B28" s="163"/>
      <c r="C28" s="175" t="s">
        <v>26</v>
      </c>
      <c r="D28" s="183">
        <v>0.1</v>
      </c>
      <c r="E28" s="177">
        <f>E27*D28</f>
        <v>53599.351689907598</v>
      </c>
      <c r="F28" s="2"/>
      <c r="G28" s="163">
        <v>7</v>
      </c>
      <c r="H28" s="238" t="s">
        <v>27</v>
      </c>
      <c r="I28" s="238"/>
      <c r="J28" s="238"/>
      <c r="K28" s="219"/>
      <c r="L28" s="223">
        <f>(L25*J25/L24)+(L26*J26/L24)+(L27*J27/L24)</f>
        <v>0</v>
      </c>
      <c r="M28" s="2"/>
      <c r="N28" s="202"/>
      <c r="O28" s="150"/>
      <c r="P28" s="150"/>
      <c r="Q28" s="150"/>
    </row>
    <row r="29" spans="1:17" ht="25.2" customHeight="1">
      <c r="A29" s="151"/>
      <c r="B29" s="163"/>
      <c r="C29" s="175" t="s">
        <v>28</v>
      </c>
      <c r="D29" s="183">
        <v>0.1</v>
      </c>
      <c r="E29" s="177">
        <f>E27*D29</f>
        <v>53599.351689907598</v>
      </c>
      <c r="F29" s="2"/>
      <c r="G29" s="167">
        <v>8</v>
      </c>
      <c r="H29" s="239" t="s">
        <v>29</v>
      </c>
      <c r="I29" s="239"/>
      <c r="J29" s="239"/>
      <c r="K29" s="224"/>
      <c r="L29" s="225">
        <v>0</v>
      </c>
      <c r="M29" s="2"/>
      <c r="N29" s="202"/>
      <c r="O29" s="150"/>
      <c r="P29" s="150"/>
      <c r="Q29" s="150"/>
    </row>
    <row r="30" spans="1:17" ht="25.2" customHeight="1">
      <c r="A30" s="151"/>
      <c r="B30" s="163">
        <v>4</v>
      </c>
      <c r="C30" s="180" t="s">
        <v>30</v>
      </c>
      <c r="D30" s="184"/>
      <c r="E30" s="182">
        <f>SUM(E27:E29)</f>
        <v>643192.22027889104</v>
      </c>
      <c r="F30" s="2"/>
      <c r="G30" s="3"/>
      <c r="H30" s="185"/>
      <c r="I30" s="226"/>
      <c r="J30" s="227"/>
      <c r="K30" s="227"/>
      <c r="L30" s="2"/>
      <c r="M30" s="2"/>
      <c r="N30" s="202"/>
      <c r="O30" s="150"/>
      <c r="P30" s="150"/>
      <c r="Q30" s="150"/>
    </row>
    <row r="31" spans="1:17" ht="25.2" customHeight="1">
      <c r="A31" s="151"/>
      <c r="B31" s="163"/>
      <c r="C31" s="175" t="s">
        <v>31</v>
      </c>
      <c r="D31" s="176">
        <v>1.4999999999999999E-2</v>
      </c>
      <c r="E31" s="177">
        <f>D31*E30</f>
        <v>9647.8833041833695</v>
      </c>
      <c r="F31" s="2"/>
      <c r="G31" s="186"/>
      <c r="H31" s="240" t="s">
        <v>32</v>
      </c>
      <c r="I31" s="241"/>
      <c r="J31" s="241"/>
      <c r="K31" s="241"/>
      <c r="L31" s="242"/>
      <c r="M31" s="2"/>
      <c r="N31" s="202"/>
      <c r="O31" s="150"/>
      <c r="P31" s="150"/>
      <c r="Q31" s="150"/>
    </row>
    <row r="32" spans="1:17" ht="25.2" customHeight="1">
      <c r="A32" s="151"/>
      <c r="B32" s="163"/>
      <c r="C32" s="5" t="s">
        <v>33</v>
      </c>
      <c r="D32" s="187"/>
      <c r="E32" s="179">
        <v>0</v>
      </c>
      <c r="F32" s="2"/>
      <c r="G32" s="3"/>
      <c r="H32" s="3"/>
      <c r="I32" s="3"/>
      <c r="J32" s="2"/>
      <c r="K32" s="2"/>
      <c r="L32" s="2"/>
      <c r="M32" s="2"/>
      <c r="N32" s="202"/>
      <c r="O32" s="150"/>
      <c r="P32" s="150"/>
      <c r="Q32" s="150"/>
    </row>
    <row r="33" spans="1:17" ht="28.8">
      <c r="A33" s="151"/>
      <c r="B33" s="163"/>
      <c r="C33" s="127" t="s">
        <v>34</v>
      </c>
      <c r="D33" s="187"/>
      <c r="E33" s="179">
        <v>0</v>
      </c>
      <c r="F33" s="2"/>
      <c r="G33" s="3"/>
      <c r="H33" s="3"/>
      <c r="I33" s="3"/>
      <c r="J33" s="2"/>
      <c r="K33" s="2"/>
      <c r="L33" s="2"/>
      <c r="M33" s="2"/>
      <c r="N33" s="202"/>
      <c r="O33" s="150"/>
      <c r="P33" s="150"/>
      <c r="Q33" s="150"/>
    </row>
    <row r="34" spans="1:17" ht="25.2" customHeight="1">
      <c r="A34" s="151"/>
      <c r="B34" s="163"/>
      <c r="C34" s="5" t="s">
        <v>35</v>
      </c>
      <c r="D34" s="187"/>
      <c r="E34" s="179">
        <v>0</v>
      </c>
      <c r="F34" s="2"/>
      <c r="G34" s="3"/>
      <c r="H34" s="3"/>
      <c r="I34" s="3"/>
      <c r="J34" s="2"/>
      <c r="K34" s="2"/>
      <c r="L34" s="2"/>
      <c r="M34" s="2"/>
      <c r="N34" s="202"/>
      <c r="O34" s="150"/>
      <c r="P34" s="150"/>
      <c r="Q34" s="150"/>
    </row>
    <row r="35" spans="1:17" ht="25.2" customHeight="1">
      <c r="A35" s="151"/>
      <c r="B35" s="163"/>
      <c r="C35" s="5" t="s">
        <v>36</v>
      </c>
      <c r="D35" s="187"/>
      <c r="E35" s="179">
        <v>0</v>
      </c>
      <c r="F35" s="2"/>
      <c r="G35" s="3"/>
      <c r="H35" s="3"/>
      <c r="I35" s="3"/>
      <c r="J35" s="2"/>
      <c r="K35" s="2"/>
      <c r="L35" s="2"/>
      <c r="M35" s="2"/>
      <c r="N35" s="202"/>
      <c r="O35" s="150"/>
      <c r="P35" s="150"/>
      <c r="Q35" s="150"/>
    </row>
    <row r="36" spans="1:17" ht="25.2" customHeight="1">
      <c r="A36" s="151"/>
      <c r="B36" s="163"/>
      <c r="C36" s="5" t="s">
        <v>37</v>
      </c>
      <c r="D36" s="187"/>
      <c r="E36" s="179">
        <v>0</v>
      </c>
      <c r="F36" s="2"/>
      <c r="G36" s="3"/>
      <c r="H36" s="2"/>
      <c r="I36" s="226"/>
      <c r="J36" s="2"/>
      <c r="K36" s="2"/>
      <c r="L36" s="2"/>
      <c r="M36" s="2"/>
      <c r="N36" s="202"/>
      <c r="O36" s="150"/>
      <c r="P36" s="150"/>
      <c r="Q36" s="150"/>
    </row>
    <row r="37" spans="1:17" ht="25.2" customHeight="1">
      <c r="A37" s="151"/>
      <c r="B37" s="163"/>
      <c r="C37" s="5" t="s">
        <v>38</v>
      </c>
      <c r="D37" s="187"/>
      <c r="E37" s="179">
        <v>0</v>
      </c>
      <c r="F37" s="2"/>
      <c r="G37" s="3"/>
      <c r="H37" s="2"/>
      <c r="I37" s="226"/>
      <c r="J37" s="2"/>
      <c r="K37" s="2"/>
      <c r="L37" s="2"/>
      <c r="M37" s="2"/>
      <c r="N37" s="202"/>
      <c r="O37" s="150"/>
      <c r="P37" s="150"/>
      <c r="Q37" s="150"/>
    </row>
    <row r="38" spans="1:17" ht="25.2" customHeight="1">
      <c r="A38" s="151"/>
      <c r="B38" s="163"/>
      <c r="C38" s="5" t="s">
        <v>39</v>
      </c>
      <c r="D38" s="187"/>
      <c r="E38" s="179">
        <v>0</v>
      </c>
      <c r="F38" s="2"/>
      <c r="G38" s="3"/>
      <c r="H38" s="2"/>
      <c r="I38" s="226"/>
      <c r="J38" s="2"/>
      <c r="K38" s="2"/>
      <c r="L38" s="2"/>
      <c r="M38" s="2"/>
      <c r="N38" s="202"/>
      <c r="O38" s="150"/>
      <c r="P38" s="150"/>
      <c r="Q38" s="150"/>
    </row>
    <row r="39" spans="1:17" ht="25.2" customHeight="1">
      <c r="A39" s="151"/>
      <c r="B39" s="163"/>
      <c r="C39" s="5" t="s">
        <v>40</v>
      </c>
      <c r="D39" s="187"/>
      <c r="E39" s="179">
        <v>0</v>
      </c>
      <c r="F39" s="2"/>
      <c r="G39" s="3"/>
      <c r="H39" s="2"/>
      <c r="I39" s="226"/>
      <c r="J39" s="2"/>
      <c r="K39" s="2"/>
      <c r="L39" s="2"/>
      <c r="M39" s="2"/>
      <c r="N39" s="202"/>
      <c r="O39" s="150"/>
      <c r="P39" s="150"/>
      <c r="Q39" s="150"/>
    </row>
    <row r="40" spans="1:17" ht="25.2" customHeight="1">
      <c r="A40" s="151"/>
      <c r="B40" s="163"/>
      <c r="C40" s="5" t="s">
        <v>41</v>
      </c>
      <c r="D40" s="187"/>
      <c r="E40" s="179">
        <v>0</v>
      </c>
      <c r="F40" s="2"/>
      <c r="G40" s="3"/>
      <c r="H40" s="2"/>
      <c r="I40" s="226"/>
      <c r="J40" s="2"/>
      <c r="K40" s="2"/>
      <c r="L40" s="2"/>
      <c r="M40" s="2"/>
      <c r="N40" s="202"/>
      <c r="O40" s="150"/>
      <c r="P40" s="150"/>
      <c r="Q40" s="150"/>
    </row>
    <row r="41" spans="1:17" ht="25.2" customHeight="1">
      <c r="A41" s="151"/>
      <c r="B41" s="163"/>
      <c r="C41" s="5" t="s">
        <v>42</v>
      </c>
      <c r="D41" s="188"/>
      <c r="E41" s="179">
        <v>0</v>
      </c>
      <c r="F41" s="2"/>
      <c r="G41" s="3"/>
      <c r="H41" s="2"/>
      <c r="I41" s="226"/>
      <c r="J41" s="2"/>
      <c r="K41" s="2"/>
      <c r="L41" s="2"/>
      <c r="M41" s="2"/>
      <c r="N41" s="202"/>
      <c r="O41" s="150"/>
      <c r="P41" s="150"/>
      <c r="Q41" s="150"/>
    </row>
    <row r="42" spans="1:17" ht="25.2" customHeight="1">
      <c r="A42" s="151"/>
      <c r="B42" s="163"/>
      <c r="C42" s="189" t="s">
        <v>43</v>
      </c>
      <c r="D42" s="176"/>
      <c r="E42" s="177">
        <f>D42*E30</f>
        <v>0</v>
      </c>
      <c r="F42" s="2"/>
      <c r="G42" s="3"/>
      <c r="H42" s="2"/>
      <c r="I42" s="228"/>
      <c r="L42" s="2"/>
      <c r="M42" s="2"/>
      <c r="N42" s="202"/>
      <c r="O42" s="150"/>
      <c r="P42" s="150"/>
      <c r="Q42" s="150"/>
    </row>
    <row r="43" spans="1:17" ht="25.2" customHeight="1">
      <c r="A43" s="151"/>
      <c r="B43" s="190"/>
      <c r="C43" s="191"/>
      <c r="D43" s="192"/>
      <c r="E43" s="193"/>
      <c r="F43" s="2"/>
      <c r="G43" s="3"/>
      <c r="H43" s="2"/>
      <c r="I43" s="229"/>
      <c r="J43" s="2"/>
      <c r="K43" s="2"/>
      <c r="L43" s="2"/>
      <c r="M43" s="2"/>
      <c r="N43" s="202"/>
      <c r="O43" s="150"/>
      <c r="P43" s="150"/>
      <c r="Q43" s="150"/>
    </row>
    <row r="44" spans="1:17" ht="25.2" customHeight="1">
      <c r="A44" s="151"/>
      <c r="B44" s="194">
        <v>5</v>
      </c>
      <c r="C44" s="195" t="s">
        <v>44</v>
      </c>
      <c r="D44" s="196"/>
      <c r="E44" s="197">
        <f>SUM(E30:E43)</f>
        <v>652840.10358307499</v>
      </c>
      <c r="F44" s="2"/>
      <c r="G44" s="3"/>
      <c r="H44" s="185"/>
      <c r="I44" s="2"/>
      <c r="L44" s="2"/>
      <c r="M44" s="2"/>
      <c r="N44" s="202"/>
      <c r="O44" s="150"/>
      <c r="P44" s="150"/>
      <c r="Q44" s="150"/>
    </row>
    <row r="45" spans="1:17">
      <c r="A45" s="151"/>
      <c r="B45" s="2"/>
      <c r="E45" s="2"/>
      <c r="F45" s="2"/>
      <c r="G45" s="2"/>
      <c r="H45" s="2"/>
      <c r="I45" s="2"/>
      <c r="J45" s="2"/>
      <c r="K45" s="2"/>
      <c r="L45" s="2"/>
      <c r="M45" s="2"/>
      <c r="N45" s="202"/>
    </row>
    <row r="46" spans="1:17">
      <c r="A46" s="198"/>
      <c r="B46" s="199"/>
      <c r="C46" s="200"/>
      <c r="D46" s="200"/>
      <c r="E46" s="201"/>
      <c r="F46" s="201"/>
      <c r="G46" s="201"/>
      <c r="H46" s="201"/>
      <c r="I46" s="201"/>
      <c r="J46" s="201"/>
      <c r="K46" s="201"/>
      <c r="L46" s="201"/>
      <c r="M46" s="201"/>
      <c r="N46" s="230"/>
    </row>
  </sheetData>
  <mergeCells count="13">
    <mergeCell ref="H28:J28"/>
    <mergeCell ref="H29:J29"/>
    <mergeCell ref="H31:L31"/>
    <mergeCell ref="H23:J23"/>
    <mergeCell ref="H24:J24"/>
    <mergeCell ref="H25:I25"/>
    <mergeCell ref="H26:I26"/>
    <mergeCell ref="H27:I27"/>
    <mergeCell ref="A1:M1"/>
    <mergeCell ref="B3:M3"/>
    <mergeCell ref="B21:E21"/>
    <mergeCell ref="G21:L21"/>
    <mergeCell ref="H22:J22"/>
  </mergeCells>
  <printOptions horizontalCentered="1"/>
  <pageMargins left="0.70866141732283505" right="0.70866141732283505" top="0.74803149606299202" bottom="0.74803149606299202" header="0.31496062992126" footer="0.31496062992126"/>
  <pageSetup paperSize="9" scale="35" orientation="portrait" r:id="rId1"/>
  <ignoredErrors>
    <ignoredError sqref="E2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85351115451523"/>
    <pageSetUpPr fitToPage="1"/>
  </sheetPr>
  <dimension ref="A1:Q467"/>
  <sheetViews>
    <sheetView tabSelected="1" view="pageBreakPreview" topLeftCell="D35" zoomScale="70" zoomScaleNormal="70" zoomScaleSheetLayoutView="70" workbookViewId="0">
      <selection activeCell="E51" sqref="E51"/>
    </sheetView>
  </sheetViews>
  <sheetFormatPr defaultColWidth="8.88671875" defaultRowHeight="14.4"/>
  <cols>
    <col min="1" max="1" width="6.109375" style="2" customWidth="1"/>
    <col min="2" max="2" width="12.44140625" style="2" customWidth="1"/>
    <col min="3" max="3" width="16.6640625" style="2" customWidth="1"/>
    <col min="4" max="4" width="12.88671875" style="10" customWidth="1"/>
    <col min="5" max="5" width="82.6640625" style="11" customWidth="1"/>
    <col min="6" max="6" width="11.5546875" style="12" customWidth="1"/>
    <col min="7" max="7" width="11.6640625" style="3" customWidth="1"/>
    <col min="8" max="8" width="11.88671875" style="3" customWidth="1"/>
    <col min="9" max="9" width="18.6640625" style="12" customWidth="1"/>
    <col min="10" max="10" width="19.88671875" style="13" customWidth="1"/>
    <col min="11" max="12" width="18.6640625" style="13" customWidth="1"/>
    <col min="13" max="13" width="18.6640625" style="14" customWidth="1"/>
    <col min="14" max="14" width="18.6640625" style="15" customWidth="1"/>
    <col min="15" max="15" width="18.6640625" style="13" customWidth="1"/>
    <col min="16" max="16" width="18.6640625" style="16" customWidth="1"/>
    <col min="17" max="17" width="24.6640625" style="17" customWidth="1"/>
    <col min="18" max="18" width="12.33203125" style="2" customWidth="1"/>
    <col min="19" max="19" width="8.88671875" style="2"/>
    <col min="20" max="20" width="14.5546875" style="2" customWidth="1"/>
    <col min="21" max="21" width="12.88671875" style="2"/>
    <col min="22" max="16384" width="8.88671875" style="2"/>
  </cols>
  <sheetData>
    <row r="1" spans="1:17" ht="39.9" customHeight="1">
      <c r="A1" s="269"/>
      <c r="B1" s="270"/>
      <c r="C1" s="270"/>
      <c r="D1" s="270"/>
      <c r="E1" s="243" t="s">
        <v>45</v>
      </c>
      <c r="F1" s="244"/>
      <c r="G1" s="244"/>
      <c r="H1" s="244"/>
      <c r="I1" s="244"/>
      <c r="J1" s="244"/>
      <c r="K1" s="244"/>
      <c r="L1" s="245"/>
      <c r="M1" s="246" t="s">
        <v>46</v>
      </c>
      <c r="N1" s="247"/>
      <c r="O1" s="248">
        <f>SUM(Q$460+Q$461)</f>
        <v>498133.67806024099</v>
      </c>
      <c r="P1" s="249"/>
      <c r="Q1" s="250"/>
    </row>
    <row r="2" spans="1:17" ht="39.9" customHeight="1">
      <c r="A2" s="271"/>
      <c r="B2" s="272"/>
      <c r="C2" s="272"/>
      <c r="D2" s="272"/>
      <c r="E2" s="251" t="s">
        <v>47</v>
      </c>
      <c r="F2" s="252"/>
      <c r="G2" s="252"/>
      <c r="H2" s="252"/>
      <c r="I2" s="252"/>
      <c r="J2" s="252"/>
      <c r="K2" s="252"/>
      <c r="L2" s="252"/>
      <c r="M2" s="246" t="s">
        <v>48</v>
      </c>
      <c r="N2" s="247"/>
      <c r="O2" s="248">
        <f>O$1*'Bid Recap &amp; Summary'!D$28</f>
        <v>49813.3678060241</v>
      </c>
      <c r="P2" s="249"/>
      <c r="Q2" s="250"/>
    </row>
    <row r="3" spans="1:17" ht="39.9" customHeight="1">
      <c r="A3" s="273"/>
      <c r="B3" s="274"/>
      <c r="C3" s="274"/>
      <c r="D3" s="275"/>
      <c r="E3" s="18" t="s">
        <v>49</v>
      </c>
      <c r="F3" s="252" t="s">
        <v>50</v>
      </c>
      <c r="G3" s="252"/>
      <c r="H3" s="252"/>
      <c r="I3" s="252"/>
      <c r="J3" s="252"/>
      <c r="K3" s="252"/>
      <c r="L3" s="253"/>
      <c r="M3" s="246" t="s">
        <v>51</v>
      </c>
      <c r="N3" s="247"/>
      <c r="O3" s="248">
        <f>O$1*'Bid Recap &amp; Summary'!D$29</f>
        <v>49813.3678060241</v>
      </c>
      <c r="P3" s="249"/>
      <c r="Q3" s="250"/>
    </row>
    <row r="4" spans="1:17" ht="39.9" customHeight="1">
      <c r="A4" s="276"/>
      <c r="B4" s="277"/>
      <c r="C4" s="277"/>
      <c r="D4" s="278"/>
      <c r="E4" s="18" t="s">
        <v>52</v>
      </c>
      <c r="F4" s="252" t="s">
        <v>53</v>
      </c>
      <c r="G4" s="252"/>
      <c r="H4" s="252"/>
      <c r="I4" s="252"/>
      <c r="J4" s="252"/>
      <c r="K4" s="252"/>
      <c r="L4" s="253"/>
      <c r="M4" s="254" t="s">
        <v>10</v>
      </c>
      <c r="N4" s="255"/>
      <c r="O4" s="248">
        <f>SUM('Bid Recap &amp; Summary'!E23+('Bid Recap &amp; Summary'!E$23*('Bid Recap &amp; Summary'!D28+'Bid Recap &amp; Summary'!D29))+'Bid Recap &amp; Summary'!E24+('Bid Recap &amp; Summary'!E$24*('Bid Recap &amp; Summary'!D28+'Bid Recap &amp; Summary'!D29))+'Bid Recap &amp; Summary'!E26+('Bid Recap &amp; Summary'!E$26*('Bid Recap &amp; Summary'!D28+'Bid Recap &amp; Summary'!D29)))+SUM('Bid Recap &amp; Summary'!E$31:E$43)</f>
        <v>55079.6899107852</v>
      </c>
      <c r="P4" s="249"/>
      <c r="Q4" s="250"/>
    </row>
    <row r="5" spans="1:17" ht="39.9" customHeight="1">
      <c r="A5" s="279"/>
      <c r="B5" s="280"/>
      <c r="C5" s="280"/>
      <c r="D5" s="281"/>
      <c r="E5" s="18" t="s">
        <v>54</v>
      </c>
      <c r="F5" s="256"/>
      <c r="G5" s="256"/>
      <c r="H5" s="256"/>
      <c r="I5" s="256"/>
      <c r="J5" s="256"/>
      <c r="K5" s="256"/>
      <c r="L5" s="257"/>
      <c r="M5" s="258" t="s">
        <v>55</v>
      </c>
      <c r="N5" s="259"/>
      <c r="O5" s="260">
        <f>SUM(O$1:Q$4)</f>
        <v>652840.10358307499</v>
      </c>
      <c r="P5" s="261"/>
      <c r="Q5" s="262"/>
    </row>
    <row r="6" spans="1:17" ht="50.1" customHeight="1">
      <c r="A6" s="19" t="s">
        <v>56</v>
      </c>
      <c r="B6" s="19" t="s">
        <v>57</v>
      </c>
      <c r="C6" s="20" t="s">
        <v>58</v>
      </c>
      <c r="D6" s="21" t="s">
        <v>59</v>
      </c>
      <c r="E6" s="19" t="s">
        <v>2</v>
      </c>
      <c r="F6" s="22" t="s">
        <v>60</v>
      </c>
      <c r="G6" s="19" t="s">
        <v>61</v>
      </c>
      <c r="H6" s="19" t="s">
        <v>62</v>
      </c>
      <c r="I6" s="22" t="s">
        <v>63</v>
      </c>
      <c r="J6" s="66" t="s">
        <v>64</v>
      </c>
      <c r="K6" s="66" t="s">
        <v>65</v>
      </c>
      <c r="L6" s="66" t="s">
        <v>66</v>
      </c>
      <c r="M6" s="67" t="s">
        <v>67</v>
      </c>
      <c r="N6" s="68" t="s">
        <v>68</v>
      </c>
      <c r="O6" s="69" t="s">
        <v>4</v>
      </c>
      <c r="P6" s="70" t="s">
        <v>69</v>
      </c>
      <c r="Q6" s="93"/>
    </row>
    <row r="7" spans="1:17" ht="30" customHeight="1">
      <c r="A7" s="23"/>
      <c r="B7" s="24"/>
      <c r="C7" s="25"/>
      <c r="D7" s="25"/>
      <c r="E7" s="26" t="s">
        <v>70</v>
      </c>
      <c r="F7" s="27"/>
      <c r="G7" s="28"/>
      <c r="H7" s="24"/>
      <c r="I7" s="71"/>
      <c r="J7" s="24"/>
      <c r="K7" s="24"/>
      <c r="L7" s="72">
        <f>'Bid Recap &amp; Summary'!L$29</f>
        <v>0</v>
      </c>
      <c r="M7" s="73"/>
      <c r="N7" s="24"/>
      <c r="O7" s="24"/>
      <c r="P7" s="24"/>
      <c r="Q7" s="94"/>
    </row>
    <row r="8" spans="1:17" ht="20.100000000000001" customHeight="1">
      <c r="A8" s="29" t="str">
        <f>IF(TRIM(G8)&lt;&gt;"",COUNTA(G$7:$G8)&amp;"","")</f>
        <v/>
      </c>
      <c r="B8" s="30"/>
      <c r="C8" s="31" t="s">
        <v>1</v>
      </c>
      <c r="D8" s="32" t="s">
        <v>71</v>
      </c>
      <c r="E8" s="33" t="s">
        <v>72</v>
      </c>
      <c r="F8" s="34"/>
      <c r="G8" s="35"/>
      <c r="H8" s="30"/>
      <c r="I8" s="74"/>
      <c r="J8" s="30"/>
      <c r="K8" s="30"/>
      <c r="L8" s="30"/>
      <c r="M8" s="75"/>
      <c r="N8" s="30"/>
      <c r="O8" s="30"/>
      <c r="P8" s="30"/>
      <c r="Q8" s="95"/>
    </row>
    <row r="9" spans="1:17" s="7" customFormat="1" ht="19.2" customHeight="1">
      <c r="A9" s="36" t="str">
        <f>IF(TRIM(G9)&lt;&gt;"",COUNTA(G$7:$G9)&amp;"","")</f>
        <v/>
      </c>
      <c r="B9" s="37"/>
      <c r="C9" s="37"/>
      <c r="D9" s="38"/>
      <c r="E9" s="39" t="s">
        <v>73</v>
      </c>
      <c r="F9" s="40"/>
      <c r="G9" s="41"/>
      <c r="H9" s="42"/>
      <c r="I9" s="76"/>
      <c r="J9" s="77"/>
      <c r="K9" s="78"/>
      <c r="L9" s="79"/>
      <c r="M9" s="80"/>
      <c r="N9" s="80"/>
      <c r="O9" s="78"/>
      <c r="P9" s="81"/>
      <c r="Q9" s="96"/>
    </row>
    <row r="10" spans="1:17" customFormat="1">
      <c r="A10" s="36" t="str">
        <f>IF(TRIM(G10)&lt;&gt;"",COUNTA(G$7:$G10)&amp;"","")</f>
        <v>1</v>
      </c>
      <c r="B10" s="37"/>
      <c r="C10" s="6"/>
      <c r="D10" s="38"/>
      <c r="E10" s="43" t="s">
        <v>74</v>
      </c>
      <c r="F10" s="40">
        <v>535</v>
      </c>
      <c r="G10" s="44" t="s">
        <v>75</v>
      </c>
      <c r="H10" s="42">
        <v>0</v>
      </c>
      <c r="I10" s="76">
        <f t="shared" ref="I10:I25" si="0">IF(F10=0,"",F10+(F10*H10))</f>
        <v>535</v>
      </c>
      <c r="J10" s="82">
        <v>0</v>
      </c>
      <c r="K10" s="83">
        <f t="shared" ref="K10" si="1">IF(F10=0,"",J10*I10)</f>
        <v>0</v>
      </c>
      <c r="L10" s="79">
        <v>73.801299999999998</v>
      </c>
      <c r="M10" s="84">
        <v>5.3999999999999999E-2</v>
      </c>
      <c r="N10" s="80">
        <f t="shared" ref="N10" si="2">L10*M10</f>
        <v>3.9852702</v>
      </c>
      <c r="O10" s="78">
        <f t="shared" ref="O10" si="3">I10*N10</f>
        <v>2132.119557</v>
      </c>
      <c r="P10" s="81">
        <f t="shared" ref="P10" si="4">K10+O10</f>
        <v>2132.119557</v>
      </c>
      <c r="Q10" s="96"/>
    </row>
    <row r="11" spans="1:17" customFormat="1">
      <c r="A11" s="36" t="str">
        <f>IF(TRIM(G11)&lt;&gt;"",COUNTA(G$7:$G11)&amp;"","")</f>
        <v>2</v>
      </c>
      <c r="B11" s="37"/>
      <c r="C11" s="6"/>
      <c r="D11" s="38"/>
      <c r="E11" s="43" t="s">
        <v>76</v>
      </c>
      <c r="F11" s="40">
        <v>274</v>
      </c>
      <c r="G11" s="44" t="s">
        <v>75</v>
      </c>
      <c r="H11" s="42">
        <v>0</v>
      </c>
      <c r="I11" s="76">
        <f t="shared" si="0"/>
        <v>274</v>
      </c>
      <c r="J11" s="82">
        <v>0</v>
      </c>
      <c r="K11" s="83">
        <f t="shared" ref="K11:K25" si="5">IF(F11=0,"",J11*I11)</f>
        <v>0</v>
      </c>
      <c r="L11" s="79">
        <v>73.801299999999998</v>
      </c>
      <c r="M11" s="84">
        <v>5.3999999999999999E-2</v>
      </c>
      <c r="N11" s="80">
        <f t="shared" ref="N11:N25" si="6">L11*M11</f>
        <v>3.9852702</v>
      </c>
      <c r="O11" s="78">
        <f t="shared" ref="O11:O25" si="7">I11*N11</f>
        <v>1091.9640348</v>
      </c>
      <c r="P11" s="81">
        <f t="shared" ref="P11:P25" si="8">K11+O11</f>
        <v>1091.9640348</v>
      </c>
      <c r="Q11" s="96"/>
    </row>
    <row r="12" spans="1:17" customFormat="1">
      <c r="A12" s="36" t="str">
        <f>IF(TRIM(G12)&lt;&gt;"",COUNTA(G$7:$G12)&amp;"","")</f>
        <v>3</v>
      </c>
      <c r="B12" s="37"/>
      <c r="C12" s="6"/>
      <c r="D12" s="38"/>
      <c r="E12" s="43" t="s">
        <v>77</v>
      </c>
      <c r="F12" s="40">
        <v>67</v>
      </c>
      <c r="G12" s="44" t="s">
        <v>75</v>
      </c>
      <c r="H12" s="42">
        <v>0</v>
      </c>
      <c r="I12" s="76">
        <f t="shared" si="0"/>
        <v>67</v>
      </c>
      <c r="J12" s="82">
        <v>0</v>
      </c>
      <c r="K12" s="83">
        <f t="shared" si="5"/>
        <v>0</v>
      </c>
      <c r="L12" s="79">
        <v>73.801299999999998</v>
      </c>
      <c r="M12" s="84">
        <v>5.3999999999999999E-2</v>
      </c>
      <c r="N12" s="80">
        <f t="shared" si="6"/>
        <v>3.9852702</v>
      </c>
      <c r="O12" s="78">
        <f t="shared" si="7"/>
        <v>267.01310339999998</v>
      </c>
      <c r="P12" s="81">
        <f t="shared" si="8"/>
        <v>267.01310339999998</v>
      </c>
      <c r="Q12" s="96"/>
    </row>
    <row r="13" spans="1:17" customFormat="1">
      <c r="A13" s="36" t="str">
        <f>IF(TRIM(G13)&lt;&gt;"",COUNTA(G$7:$G13)&amp;"","")</f>
        <v>4</v>
      </c>
      <c r="B13" s="37"/>
      <c r="C13" s="6"/>
      <c r="D13" s="38"/>
      <c r="E13" s="43" t="s">
        <v>78</v>
      </c>
      <c r="F13" s="40">
        <v>38</v>
      </c>
      <c r="G13" s="44" t="s">
        <v>75</v>
      </c>
      <c r="H13" s="42">
        <v>0</v>
      </c>
      <c r="I13" s="76">
        <f t="shared" si="0"/>
        <v>38</v>
      </c>
      <c r="J13" s="82">
        <v>0</v>
      </c>
      <c r="K13" s="83">
        <f t="shared" si="5"/>
        <v>0</v>
      </c>
      <c r="L13" s="79">
        <v>73.801299999999998</v>
      </c>
      <c r="M13" s="84">
        <v>0.38500000000000001</v>
      </c>
      <c r="N13" s="80">
        <f t="shared" si="6"/>
        <v>28.413500500000001</v>
      </c>
      <c r="O13" s="78">
        <f t="shared" si="7"/>
        <v>1079.713019</v>
      </c>
      <c r="P13" s="81">
        <f t="shared" si="8"/>
        <v>1079.713019</v>
      </c>
      <c r="Q13" s="96"/>
    </row>
    <row r="14" spans="1:17" customFormat="1">
      <c r="A14" s="36" t="str">
        <f>IF(TRIM(G14)&lt;&gt;"",COUNTA(G$7:$G14)&amp;"","")</f>
        <v>5</v>
      </c>
      <c r="B14" s="37"/>
      <c r="C14" s="6"/>
      <c r="D14" s="38"/>
      <c r="E14" s="43" t="s">
        <v>79</v>
      </c>
      <c r="F14" s="40">
        <v>314</v>
      </c>
      <c r="G14" s="44" t="s">
        <v>75</v>
      </c>
      <c r="H14" s="42">
        <v>0</v>
      </c>
      <c r="I14" s="76">
        <f t="shared" si="0"/>
        <v>314</v>
      </c>
      <c r="J14" s="82">
        <v>0</v>
      </c>
      <c r="K14" s="83">
        <f t="shared" si="5"/>
        <v>0</v>
      </c>
      <c r="L14" s="79">
        <v>73.801299999999998</v>
      </c>
      <c r="M14" s="84">
        <v>5.3999999999999999E-2</v>
      </c>
      <c r="N14" s="80">
        <f t="shared" si="6"/>
        <v>3.9852702</v>
      </c>
      <c r="O14" s="78">
        <f t="shared" si="7"/>
        <v>1251.3748427999999</v>
      </c>
      <c r="P14" s="81">
        <f t="shared" si="8"/>
        <v>1251.3748427999999</v>
      </c>
      <c r="Q14" s="96"/>
    </row>
    <row r="15" spans="1:17" customFormat="1">
      <c r="A15" s="36" t="str">
        <f>IF(TRIM(G15)&lt;&gt;"",COUNTA(G$7:$G15)&amp;"","")</f>
        <v>6</v>
      </c>
      <c r="B15" s="37"/>
      <c r="C15" s="6"/>
      <c r="D15" s="38"/>
      <c r="E15" s="43" t="s">
        <v>80</v>
      </c>
      <c r="F15" s="40">
        <v>1125.74</v>
      </c>
      <c r="G15" s="44" t="s">
        <v>75</v>
      </c>
      <c r="H15" s="42">
        <v>0</v>
      </c>
      <c r="I15" s="76">
        <f t="shared" si="0"/>
        <v>1125.74</v>
      </c>
      <c r="J15" s="82">
        <v>0</v>
      </c>
      <c r="K15" s="83">
        <f t="shared" si="5"/>
        <v>0</v>
      </c>
      <c r="L15" s="79">
        <v>73.801299999999998</v>
      </c>
      <c r="M15" s="84">
        <v>4.5999999999999999E-2</v>
      </c>
      <c r="N15" s="80">
        <f t="shared" si="6"/>
        <v>3.3948597999999999</v>
      </c>
      <c r="O15" s="78">
        <f t="shared" si="7"/>
        <v>3821.7294712520002</v>
      </c>
      <c r="P15" s="81">
        <f t="shared" si="8"/>
        <v>3821.7294712520002</v>
      </c>
      <c r="Q15" s="96"/>
    </row>
    <row r="16" spans="1:17" customFormat="1">
      <c r="A16" s="36" t="str">
        <f>IF(TRIM(G16)&lt;&gt;"",COUNTA(G$7:$G16)&amp;"","")</f>
        <v>7</v>
      </c>
      <c r="B16" s="37"/>
      <c r="C16" s="6"/>
      <c r="D16" s="38"/>
      <c r="E16" s="43" t="s">
        <v>81</v>
      </c>
      <c r="F16" s="40">
        <v>2.41</v>
      </c>
      <c r="G16" s="44" t="s">
        <v>82</v>
      </c>
      <c r="H16" s="42">
        <v>0</v>
      </c>
      <c r="I16" s="76">
        <f t="shared" si="0"/>
        <v>2.41</v>
      </c>
      <c r="J16" s="82">
        <v>0</v>
      </c>
      <c r="K16" s="83">
        <f t="shared" si="5"/>
        <v>0</v>
      </c>
      <c r="L16" s="79">
        <v>73.801299999999998</v>
      </c>
      <c r="M16" s="84">
        <v>0.115</v>
      </c>
      <c r="N16" s="80">
        <f t="shared" si="6"/>
        <v>8.4871494999999992</v>
      </c>
      <c r="O16" s="78">
        <f t="shared" si="7"/>
        <v>20.454030294999999</v>
      </c>
      <c r="P16" s="81">
        <f t="shared" si="8"/>
        <v>20.454030294999999</v>
      </c>
      <c r="Q16" s="96"/>
    </row>
    <row r="17" spans="1:17" customFormat="1">
      <c r="A17" s="36" t="str">
        <f>IF(TRIM(G17)&lt;&gt;"",COUNTA(G$7:$G17)&amp;"","")</f>
        <v>8</v>
      </c>
      <c r="B17" s="37"/>
      <c r="C17" s="6"/>
      <c r="D17" s="38"/>
      <c r="E17" s="43" t="s">
        <v>83</v>
      </c>
      <c r="F17" s="40">
        <v>69.819999999999993</v>
      </c>
      <c r="G17" s="44" t="s">
        <v>82</v>
      </c>
      <c r="H17" s="42">
        <v>0</v>
      </c>
      <c r="I17" s="76">
        <f t="shared" si="0"/>
        <v>69.819999999999993</v>
      </c>
      <c r="J17" s="82">
        <v>0</v>
      </c>
      <c r="K17" s="83">
        <f t="shared" si="5"/>
        <v>0</v>
      </c>
      <c r="L17" s="79">
        <v>73.801299999999998</v>
      </c>
      <c r="M17" s="84">
        <v>0.16</v>
      </c>
      <c r="N17" s="80">
        <f t="shared" si="6"/>
        <v>11.808208</v>
      </c>
      <c r="O17" s="78">
        <f t="shared" si="7"/>
        <v>824.44908255999997</v>
      </c>
      <c r="P17" s="81">
        <f t="shared" si="8"/>
        <v>824.44908255999997</v>
      </c>
      <c r="Q17" s="96"/>
    </row>
    <row r="18" spans="1:17" customFormat="1">
      <c r="A18" s="36" t="str">
        <f>IF(TRIM(G18)&lt;&gt;"",COUNTA(G$7:$G18)&amp;"","")</f>
        <v>9</v>
      </c>
      <c r="B18" s="37"/>
      <c r="C18" s="6"/>
      <c r="D18" s="38"/>
      <c r="E18" s="43" t="s">
        <v>84</v>
      </c>
      <c r="F18" s="40">
        <v>3</v>
      </c>
      <c r="G18" s="41" t="s">
        <v>85</v>
      </c>
      <c r="H18" s="42">
        <v>0</v>
      </c>
      <c r="I18" s="76">
        <f t="shared" si="0"/>
        <v>3</v>
      </c>
      <c r="J18" s="77">
        <v>3.01098</v>
      </c>
      <c r="K18" s="78">
        <f t="shared" si="5"/>
        <v>9.03294</v>
      </c>
      <c r="L18" s="79">
        <v>112.98085</v>
      </c>
      <c r="M18" s="84">
        <v>0.55000000000000004</v>
      </c>
      <c r="N18" s="80">
        <f t="shared" si="6"/>
        <v>62.139467500000002</v>
      </c>
      <c r="O18" s="78">
        <f t="shared" si="7"/>
        <v>186.41840250000001</v>
      </c>
      <c r="P18" s="81">
        <f t="shared" si="8"/>
        <v>195.45134250000001</v>
      </c>
      <c r="Q18" s="96"/>
    </row>
    <row r="19" spans="1:17" customFormat="1">
      <c r="A19" s="36" t="str">
        <f>IF(TRIM(G19)&lt;&gt;"",COUNTA(G$7:$G19)&amp;"","")</f>
        <v>10</v>
      </c>
      <c r="B19" s="5"/>
      <c r="C19" s="6"/>
      <c r="D19" s="38"/>
      <c r="E19" s="45" t="s">
        <v>86</v>
      </c>
      <c r="F19" s="40">
        <v>2</v>
      </c>
      <c r="G19" s="41" t="s">
        <v>85</v>
      </c>
      <c r="H19" s="42">
        <v>0</v>
      </c>
      <c r="I19" s="76">
        <f t="shared" si="0"/>
        <v>2</v>
      </c>
      <c r="J19" s="82">
        <v>0</v>
      </c>
      <c r="K19" s="83">
        <f t="shared" si="5"/>
        <v>0</v>
      </c>
      <c r="L19" s="79">
        <v>73.801299999999998</v>
      </c>
      <c r="M19" s="84">
        <v>2.02</v>
      </c>
      <c r="N19" s="80">
        <f t="shared" si="6"/>
        <v>149.07862600000001</v>
      </c>
      <c r="O19" s="78">
        <f t="shared" si="7"/>
        <v>298.15725200000003</v>
      </c>
      <c r="P19" s="81">
        <f t="shared" si="8"/>
        <v>298.15725200000003</v>
      </c>
      <c r="Q19" s="96"/>
    </row>
    <row r="20" spans="1:17" customFormat="1">
      <c r="A20" s="36" t="str">
        <f>IF(TRIM(G20)&lt;&gt;"",COUNTA(G$7:$G20)&amp;"","")</f>
        <v>11</v>
      </c>
      <c r="B20" s="5"/>
      <c r="C20" s="6"/>
      <c r="D20" s="46"/>
      <c r="E20" s="47" t="s">
        <v>87</v>
      </c>
      <c r="F20" s="40">
        <v>3</v>
      </c>
      <c r="G20" s="41" t="s">
        <v>85</v>
      </c>
      <c r="H20" s="42">
        <v>0</v>
      </c>
      <c r="I20" s="76">
        <f t="shared" si="0"/>
        <v>3</v>
      </c>
      <c r="J20" s="82">
        <v>0</v>
      </c>
      <c r="K20" s="83">
        <f t="shared" si="5"/>
        <v>0</v>
      </c>
      <c r="L20" s="79">
        <v>73.801299999999998</v>
      </c>
      <c r="M20" s="84">
        <v>0.215</v>
      </c>
      <c r="N20" s="80">
        <f t="shared" si="6"/>
        <v>15.8672795</v>
      </c>
      <c r="O20" s="78">
        <f t="shared" si="7"/>
        <v>47.601838499999999</v>
      </c>
      <c r="P20" s="81">
        <f t="shared" si="8"/>
        <v>47.601838499999999</v>
      </c>
      <c r="Q20" s="96"/>
    </row>
    <row r="21" spans="1:17" customFormat="1">
      <c r="A21" s="36" t="str">
        <f>IF(TRIM(G21)&lt;&gt;"",COUNTA(G$7:$G21)&amp;"","")</f>
        <v>12</v>
      </c>
      <c r="B21" s="37"/>
      <c r="C21" s="6"/>
      <c r="D21" s="38"/>
      <c r="E21" s="43" t="s">
        <v>88</v>
      </c>
      <c r="F21" s="40">
        <v>1</v>
      </c>
      <c r="G21" s="41" t="s">
        <v>85</v>
      </c>
      <c r="H21" s="42">
        <v>0</v>
      </c>
      <c r="I21" s="76">
        <f t="shared" si="0"/>
        <v>1</v>
      </c>
      <c r="J21" s="82">
        <v>0</v>
      </c>
      <c r="K21" s="83">
        <f t="shared" si="5"/>
        <v>0</v>
      </c>
      <c r="L21" s="79">
        <v>73.801299999999998</v>
      </c>
      <c r="M21" s="84">
        <v>2.2749999999999999</v>
      </c>
      <c r="N21" s="80">
        <f t="shared" si="6"/>
        <v>167.89795749999999</v>
      </c>
      <c r="O21" s="78">
        <f t="shared" si="7"/>
        <v>167.89795749999999</v>
      </c>
      <c r="P21" s="81">
        <f t="shared" si="8"/>
        <v>167.89795749999999</v>
      </c>
      <c r="Q21" s="96"/>
    </row>
    <row r="22" spans="1:17" customFormat="1">
      <c r="A22" s="36" t="str">
        <f>IF(TRIM(G22)&lt;&gt;"",COUNTA(G$7:$G22)&amp;"","")</f>
        <v>13</v>
      </c>
      <c r="B22" s="5"/>
      <c r="C22" s="6"/>
      <c r="D22" s="38"/>
      <c r="E22" s="45" t="s">
        <v>89</v>
      </c>
      <c r="F22" s="40">
        <v>13</v>
      </c>
      <c r="G22" s="41" t="s">
        <v>85</v>
      </c>
      <c r="H22" s="42">
        <v>0</v>
      </c>
      <c r="I22" s="76">
        <f t="shared" si="0"/>
        <v>13</v>
      </c>
      <c r="J22" s="82">
        <v>0</v>
      </c>
      <c r="K22" s="83">
        <f t="shared" si="5"/>
        <v>0</v>
      </c>
      <c r="L22" s="79">
        <v>73.801299999999998</v>
      </c>
      <c r="M22" s="84">
        <v>1.425</v>
      </c>
      <c r="N22" s="80">
        <f t="shared" si="6"/>
        <v>105.1668525</v>
      </c>
      <c r="O22" s="78">
        <f t="shared" si="7"/>
        <v>1367.1690825000001</v>
      </c>
      <c r="P22" s="81">
        <f t="shared" si="8"/>
        <v>1367.1690825000001</v>
      </c>
      <c r="Q22" s="96"/>
    </row>
    <row r="23" spans="1:17" customFormat="1">
      <c r="A23" s="36" t="str">
        <f>IF(TRIM(G23)&lt;&gt;"",COUNTA(G$7:$G23)&amp;"","")</f>
        <v>14</v>
      </c>
      <c r="B23" s="5"/>
      <c r="C23" s="6"/>
      <c r="D23" s="46"/>
      <c r="E23" s="47" t="s">
        <v>90</v>
      </c>
      <c r="F23" s="40">
        <v>1</v>
      </c>
      <c r="G23" s="41" t="s">
        <v>85</v>
      </c>
      <c r="H23" s="42">
        <v>0</v>
      </c>
      <c r="I23" s="76">
        <f t="shared" si="0"/>
        <v>1</v>
      </c>
      <c r="J23" s="82">
        <v>0</v>
      </c>
      <c r="K23" s="83">
        <f t="shared" si="5"/>
        <v>0</v>
      </c>
      <c r="L23" s="79">
        <v>73.801299999999998</v>
      </c>
      <c r="M23" s="84">
        <v>0.42099999999999999</v>
      </c>
      <c r="N23" s="80">
        <f t="shared" si="6"/>
        <v>31.070347300000002</v>
      </c>
      <c r="O23" s="78">
        <f t="shared" si="7"/>
        <v>31.070347300000002</v>
      </c>
      <c r="P23" s="81">
        <f t="shared" si="8"/>
        <v>31.070347300000002</v>
      </c>
      <c r="Q23" s="96"/>
    </row>
    <row r="24" spans="1:17" customFormat="1">
      <c r="A24" s="36" t="str">
        <f>IF(TRIM(G24)&lt;&gt;"",COUNTA(G$7:$G24)&amp;"","")</f>
        <v>15</v>
      </c>
      <c r="B24" s="37"/>
      <c r="C24" s="6"/>
      <c r="D24" s="38"/>
      <c r="E24" s="43" t="s">
        <v>91</v>
      </c>
      <c r="F24" s="40">
        <v>2</v>
      </c>
      <c r="G24" s="41" t="s">
        <v>85</v>
      </c>
      <c r="H24" s="42">
        <v>0</v>
      </c>
      <c r="I24" s="76">
        <f t="shared" si="0"/>
        <v>2</v>
      </c>
      <c r="J24" s="82">
        <v>0</v>
      </c>
      <c r="K24" s="83">
        <f t="shared" si="5"/>
        <v>0</v>
      </c>
      <c r="L24" s="79">
        <v>73.801299999999998</v>
      </c>
      <c r="M24" s="84">
        <v>3.5</v>
      </c>
      <c r="N24" s="80">
        <f t="shared" si="6"/>
        <v>258.30455000000001</v>
      </c>
      <c r="O24" s="78">
        <f t="shared" si="7"/>
        <v>516.60910000000001</v>
      </c>
      <c r="P24" s="81">
        <f t="shared" si="8"/>
        <v>516.60910000000001</v>
      </c>
      <c r="Q24" s="96"/>
    </row>
    <row r="25" spans="1:17" customFormat="1">
      <c r="A25" s="36" t="str">
        <f>IF(TRIM(G25)&lt;&gt;"",COUNTA(G$7:$G25)&amp;"","")</f>
        <v>16</v>
      </c>
      <c r="B25" s="5"/>
      <c r="C25" s="6"/>
      <c r="D25" s="38"/>
      <c r="E25" s="45" t="s">
        <v>92</v>
      </c>
      <c r="F25" s="40">
        <v>1</v>
      </c>
      <c r="G25" s="41" t="s">
        <v>85</v>
      </c>
      <c r="H25" s="42">
        <v>0</v>
      </c>
      <c r="I25" s="76">
        <f t="shared" si="0"/>
        <v>1</v>
      </c>
      <c r="J25" s="82">
        <v>0</v>
      </c>
      <c r="K25" s="83">
        <f t="shared" si="5"/>
        <v>0</v>
      </c>
      <c r="L25" s="79">
        <v>73.801299999999998</v>
      </c>
      <c r="M25" s="84">
        <v>0.5</v>
      </c>
      <c r="N25" s="80">
        <f t="shared" si="6"/>
        <v>36.900649999999999</v>
      </c>
      <c r="O25" s="78">
        <f t="shared" si="7"/>
        <v>36.900649999999999</v>
      </c>
      <c r="P25" s="81">
        <f t="shared" si="8"/>
        <v>36.900649999999999</v>
      </c>
      <c r="Q25" s="96"/>
    </row>
    <row r="26" spans="1:17" customFormat="1">
      <c r="A26" s="36" t="str">
        <f>IF(TRIM(G26)&lt;&gt;"",COUNTA(G$7:$G26)&amp;"","")</f>
        <v/>
      </c>
      <c r="B26" s="5"/>
      <c r="C26" s="6"/>
      <c r="D26" s="38"/>
      <c r="E26" s="43"/>
      <c r="F26" s="40"/>
      <c r="G26" s="41"/>
      <c r="H26" s="42"/>
      <c r="I26" s="76"/>
      <c r="J26" s="77"/>
      <c r="K26" s="78"/>
      <c r="L26" s="79"/>
      <c r="M26" s="84"/>
      <c r="N26" s="80"/>
      <c r="O26" s="78"/>
      <c r="P26" s="81"/>
      <c r="Q26" s="96"/>
    </row>
    <row r="27" spans="1:17" s="8" customFormat="1" ht="15.6">
      <c r="A27" s="36" t="str">
        <f>IF(TRIM(G27)&lt;&gt;"",COUNTA(G$7:$G27)&amp;"","")</f>
        <v/>
      </c>
      <c r="B27" s="48"/>
      <c r="C27" s="48"/>
      <c r="D27" s="49"/>
      <c r="E27" s="50"/>
      <c r="F27" s="51"/>
      <c r="G27" s="52"/>
      <c r="H27" s="53" t="s">
        <v>93</v>
      </c>
      <c r="I27" s="85"/>
      <c r="J27" s="86">
        <f>SUM(K9:K26)</f>
        <v>9.03294</v>
      </c>
      <c r="K27" s="263" t="s">
        <v>94</v>
      </c>
      <c r="L27" s="264"/>
      <c r="M27" s="87">
        <f>SUM(O9:O26)</f>
        <v>13140.641771406999</v>
      </c>
      <c r="N27" s="263"/>
      <c r="O27" s="264"/>
      <c r="P27" s="88"/>
      <c r="Q27" s="97">
        <f>SUM(P9:P26)</f>
        <v>13149.674711407</v>
      </c>
    </row>
    <row r="28" spans="1:17">
      <c r="A28" s="54" t="str">
        <f>IF(TRIM(G28)&lt;&gt;"",COUNTA(G$7:$G28)&amp;"","")</f>
        <v/>
      </c>
      <c r="B28" s="6"/>
      <c r="C28" s="6"/>
      <c r="D28" s="55"/>
      <c r="E28" s="56"/>
      <c r="F28" s="40"/>
      <c r="G28" s="41"/>
      <c r="H28" s="42" t="str">
        <f>IF(F28=0,"",0)</f>
        <v/>
      </c>
      <c r="I28" s="76" t="str">
        <f>IF(F28=0,"",F28+(F28*H28))</f>
        <v/>
      </c>
      <c r="J28" s="77" t="str">
        <f>IF(F28=0,"",0)</f>
        <v/>
      </c>
      <c r="K28" s="78" t="str">
        <f>IF(F28=0,"",J28*I28)</f>
        <v/>
      </c>
      <c r="L28" s="79" t="str">
        <f>IF(F28=0,"",#REF!)</f>
        <v/>
      </c>
      <c r="M28" s="80" t="str">
        <f>IF(F28=0,"",0)</f>
        <v/>
      </c>
      <c r="N28" s="80" t="str">
        <f>IF(F28=0,"",M28*I28)</f>
        <v/>
      </c>
      <c r="O28" s="78" t="str">
        <f>IF(F28=0,"",N28*L28)</f>
        <v/>
      </c>
      <c r="P28" s="81" t="str">
        <f>IF(F28=0,"",K28+O28)</f>
        <v/>
      </c>
      <c r="Q28" s="96"/>
    </row>
    <row r="29" spans="1:17" ht="20.100000000000001" customHeight="1">
      <c r="A29" s="29" t="str">
        <f>IF(TRIM(G29)&lt;&gt;"",COUNTA(G$7:$G29)&amp;"","")</f>
        <v/>
      </c>
      <c r="B29" s="30"/>
      <c r="C29" s="31" t="s">
        <v>1</v>
      </c>
      <c r="D29" s="32" t="s">
        <v>95</v>
      </c>
      <c r="E29" s="33" t="s">
        <v>96</v>
      </c>
      <c r="F29" s="34"/>
      <c r="G29" s="35"/>
      <c r="H29" s="30"/>
      <c r="I29" s="74"/>
      <c r="J29" s="30"/>
      <c r="K29" s="30"/>
      <c r="L29" s="30"/>
      <c r="M29" s="75"/>
      <c r="N29" s="30"/>
      <c r="O29" s="30"/>
      <c r="P29" s="30"/>
      <c r="Q29" s="95"/>
    </row>
    <row r="30" spans="1:17" s="7" customFormat="1" ht="19.2" customHeight="1">
      <c r="A30" s="36" t="str">
        <f>IF(TRIM(G30)&lt;&gt;"",COUNTA(G$7:$G30)&amp;"","")</f>
        <v/>
      </c>
      <c r="B30" s="37"/>
      <c r="C30" s="37"/>
      <c r="D30" s="38"/>
      <c r="E30" s="39" t="s">
        <v>97</v>
      </c>
      <c r="F30" s="40"/>
      <c r="G30" s="41"/>
      <c r="H30" s="42"/>
      <c r="I30" s="76"/>
      <c r="J30" s="77"/>
      <c r="K30" s="78"/>
      <c r="L30" s="79"/>
      <c r="M30" s="80"/>
      <c r="N30" s="80"/>
      <c r="O30" s="78"/>
      <c r="P30" s="81"/>
      <c r="Q30" s="96"/>
    </row>
    <row r="31" spans="1:17" customFormat="1">
      <c r="A31" s="36" t="str">
        <f>IF(TRIM(G31)&lt;&gt;"",COUNTA(G$7:$G31)&amp;"","")</f>
        <v>17</v>
      </c>
      <c r="B31" s="37"/>
      <c r="C31" s="6"/>
      <c r="D31" s="38"/>
      <c r="E31" s="43" t="s">
        <v>98</v>
      </c>
      <c r="F31" s="40">
        <v>16</v>
      </c>
      <c r="G31" s="44" t="s">
        <v>82</v>
      </c>
      <c r="H31" s="42">
        <v>0.05</v>
      </c>
      <c r="I31" s="76">
        <f>IF(F31=0,"",F31+(F31*H31))</f>
        <v>16.8</v>
      </c>
      <c r="J31" s="77">
        <v>0.76540799999999998</v>
      </c>
      <c r="K31" s="78">
        <f t="shared" ref="K31" si="9">IF(F31=0,"",J31*I31)</f>
        <v>12.8588544</v>
      </c>
      <c r="L31" s="79">
        <v>93.171949999999995</v>
      </c>
      <c r="M31" s="84">
        <v>2.5999999999999999E-2</v>
      </c>
      <c r="N31" s="80">
        <f t="shared" ref="N31" si="10">L31*M31</f>
        <v>2.4224706999999999</v>
      </c>
      <c r="O31" s="78">
        <f t="shared" ref="O31" si="11">I31*N31</f>
        <v>40.697507760000001</v>
      </c>
      <c r="P31" s="81">
        <f t="shared" ref="P31" si="12">K31+O31</f>
        <v>53.556362159999999</v>
      </c>
      <c r="Q31" s="96"/>
    </row>
    <row r="32" spans="1:17" customFormat="1">
      <c r="A32" s="36" t="str">
        <f>IF(TRIM(G32)&lt;&gt;"",COUNTA(G$7:$G32)&amp;"","")</f>
        <v/>
      </c>
      <c r="B32" s="5"/>
      <c r="C32" s="6"/>
      <c r="D32" s="38"/>
      <c r="E32" s="43"/>
      <c r="F32" s="40"/>
      <c r="G32" s="41"/>
      <c r="H32" s="42"/>
      <c r="I32" s="76"/>
      <c r="J32" s="77"/>
      <c r="K32" s="78"/>
      <c r="L32" s="79"/>
      <c r="M32" s="84"/>
      <c r="N32" s="80"/>
      <c r="O32" s="78"/>
      <c r="P32" s="81"/>
      <c r="Q32" s="96"/>
    </row>
    <row r="33" spans="1:17" s="7" customFormat="1" ht="19.2" customHeight="1">
      <c r="A33" s="36" t="str">
        <f>IF(TRIM(G33)&lt;&gt;"",COUNTA(G$7:$G33)&amp;"","")</f>
        <v/>
      </c>
      <c r="B33" s="37"/>
      <c r="C33" s="37"/>
      <c r="D33" s="38"/>
      <c r="E33" s="39" t="s">
        <v>99</v>
      </c>
      <c r="F33" s="40"/>
      <c r="G33" s="41"/>
      <c r="H33" s="42"/>
      <c r="I33" s="76"/>
      <c r="J33" s="77"/>
      <c r="K33" s="78"/>
      <c r="L33" s="79"/>
      <c r="M33" s="80"/>
      <c r="N33" s="80"/>
      <c r="O33" s="78"/>
      <c r="P33" s="81"/>
      <c r="Q33" s="96"/>
    </row>
    <row r="34" spans="1:17" customFormat="1">
      <c r="A34" s="36" t="str">
        <f>IF(TRIM(G34)&lt;&gt;"",COUNTA(G$7:$G34)&amp;"","")</f>
        <v>18</v>
      </c>
      <c r="B34" s="37"/>
      <c r="C34" s="6"/>
      <c r="D34" s="38"/>
      <c r="E34" s="43" t="s">
        <v>100</v>
      </c>
      <c r="F34" s="40">
        <v>13.17</v>
      </c>
      <c r="G34" s="44" t="s">
        <v>82</v>
      </c>
      <c r="H34" s="42">
        <v>0.05</v>
      </c>
      <c r="I34" s="76">
        <f>IF(F34=0,"",F34+(F34*H34))</f>
        <v>13.8285</v>
      </c>
      <c r="J34" s="77">
        <v>313.29199999999997</v>
      </c>
      <c r="K34" s="78">
        <f t="shared" ref="K34:K35" si="13">IF(F34=0,"",J34*I34)</f>
        <v>4332.3584220000002</v>
      </c>
      <c r="L34" s="79">
        <v>93.171949999999995</v>
      </c>
      <c r="M34" s="84">
        <v>1.3260000000000001</v>
      </c>
      <c r="N34" s="80">
        <f t="shared" ref="N34:N35" si="14">L34*M34</f>
        <v>123.54600569999999</v>
      </c>
      <c r="O34" s="78">
        <f t="shared" ref="O34:O35" si="15">I34*N34</f>
        <v>1708.4559398224501</v>
      </c>
      <c r="P34" s="81">
        <f t="shared" ref="P34:P35" si="16">K34+O34</f>
        <v>6040.8143618224503</v>
      </c>
      <c r="Q34" s="96"/>
    </row>
    <row r="35" spans="1:17" customFormat="1">
      <c r="A35" s="36" t="str">
        <f>IF(TRIM(G35)&lt;&gt;"",COUNTA(G$7:$G35)&amp;"","")</f>
        <v>19</v>
      </c>
      <c r="B35" s="37"/>
      <c r="C35" s="6"/>
      <c r="D35" s="38"/>
      <c r="E35" s="43" t="s">
        <v>101</v>
      </c>
      <c r="F35" s="40">
        <v>8.67</v>
      </c>
      <c r="G35" s="44" t="s">
        <v>82</v>
      </c>
      <c r="H35" s="42">
        <v>0.05</v>
      </c>
      <c r="I35" s="76">
        <f>IF(F35=0,"",F35+(F35*H35))</f>
        <v>9.1035000000000004</v>
      </c>
      <c r="J35" s="77">
        <v>355.50200000000001</v>
      </c>
      <c r="K35" s="78">
        <f t="shared" si="13"/>
        <v>3236.312457</v>
      </c>
      <c r="L35" s="79">
        <v>93.171949999999995</v>
      </c>
      <c r="M35" s="84">
        <v>1.466</v>
      </c>
      <c r="N35" s="80">
        <f t="shared" si="14"/>
        <v>136.59007869999999</v>
      </c>
      <c r="O35" s="78">
        <f t="shared" si="15"/>
        <v>1243.4477814454499</v>
      </c>
      <c r="P35" s="81">
        <f t="shared" si="16"/>
        <v>4479.7602384454503</v>
      </c>
      <c r="Q35" s="96"/>
    </row>
    <row r="36" spans="1:17" customFormat="1">
      <c r="A36" s="36" t="str">
        <f>IF(TRIM(G36)&lt;&gt;"",COUNTA(G$7:$G36)&amp;"","")</f>
        <v/>
      </c>
      <c r="B36" s="5"/>
      <c r="C36" s="6"/>
      <c r="D36" s="38"/>
      <c r="E36" s="43"/>
      <c r="F36" s="40"/>
      <c r="G36" s="41"/>
      <c r="H36" s="42"/>
      <c r="I36" s="76"/>
      <c r="J36" s="77"/>
      <c r="K36" s="78"/>
      <c r="L36" s="79"/>
      <c r="M36" s="84"/>
      <c r="N36" s="80"/>
      <c r="O36" s="78"/>
      <c r="P36" s="81"/>
      <c r="Q36" s="96"/>
    </row>
    <row r="37" spans="1:17" s="8" customFormat="1" ht="15.6">
      <c r="A37" s="36" t="str">
        <f>IF(TRIM(G37)&lt;&gt;"",COUNTA(G$7:$G37)&amp;"","")</f>
        <v/>
      </c>
      <c r="B37" s="48"/>
      <c r="C37" s="48"/>
      <c r="D37" s="49"/>
      <c r="E37" s="50"/>
      <c r="F37" s="51"/>
      <c r="G37" s="52"/>
      <c r="H37" s="53" t="s">
        <v>93</v>
      </c>
      <c r="I37" s="85"/>
      <c r="J37" s="86">
        <f>SUM(K30:K36)</f>
        <v>7581.5297333999997</v>
      </c>
      <c r="K37" s="263" t="s">
        <v>94</v>
      </c>
      <c r="L37" s="264"/>
      <c r="M37" s="87">
        <f>SUM(O30:O36)</f>
        <v>2992.6012290279</v>
      </c>
      <c r="N37" s="263"/>
      <c r="O37" s="264"/>
      <c r="P37" s="88"/>
      <c r="Q37" s="97">
        <f>SUM(P30:P36)</f>
        <v>10574.1309624279</v>
      </c>
    </row>
    <row r="38" spans="1:17">
      <c r="A38" s="54" t="str">
        <f>IF(TRIM(G38)&lt;&gt;"",COUNTA(G$7:$G38)&amp;"","")</f>
        <v/>
      </c>
      <c r="B38" s="6"/>
      <c r="C38" s="6"/>
      <c r="D38" s="55"/>
      <c r="E38" s="56"/>
      <c r="F38" s="40"/>
      <c r="G38" s="41"/>
      <c r="H38" s="42" t="str">
        <f>IF(F38=0,"",0)</f>
        <v/>
      </c>
      <c r="I38" s="76" t="str">
        <f>IF(F38=0,"",F38+(F38*H38))</f>
        <v/>
      </c>
      <c r="J38" s="77" t="str">
        <f>IF(F38=0,"",0)</f>
        <v/>
      </c>
      <c r="K38" s="78" t="str">
        <f>IF(F38=0,"",J38*I38)</f>
        <v/>
      </c>
      <c r="L38" s="79" t="str">
        <f>IF(F38=0,"",#REF!)</f>
        <v/>
      </c>
      <c r="M38" s="80" t="str">
        <f>IF(F38=0,"",0)</f>
        <v/>
      </c>
      <c r="N38" s="80" t="str">
        <f>IF(F38=0,"",M38*I38)</f>
        <v/>
      </c>
      <c r="O38" s="78" t="str">
        <f>IF(F38=0,"",N38*L38)</f>
        <v/>
      </c>
      <c r="P38" s="81" t="str">
        <f>IF(F38=0,"",K38+O38)</f>
        <v/>
      </c>
      <c r="Q38" s="96"/>
    </row>
    <row r="39" spans="1:17" ht="20.100000000000001" customHeight="1">
      <c r="A39" s="29" t="str">
        <f>IF(TRIM(G39)&lt;&gt;"",COUNTA(G$7:$G39)&amp;"","")</f>
        <v/>
      </c>
      <c r="B39" s="30"/>
      <c r="C39" s="31" t="s">
        <v>1</v>
      </c>
      <c r="D39" s="32" t="s">
        <v>102</v>
      </c>
      <c r="E39" s="33" t="s">
        <v>103</v>
      </c>
      <c r="F39" s="34"/>
      <c r="G39" s="35"/>
      <c r="H39" s="30"/>
      <c r="I39" s="74"/>
      <c r="J39" s="30"/>
      <c r="K39" s="30"/>
      <c r="L39" s="30"/>
      <c r="M39" s="75"/>
      <c r="N39" s="30"/>
      <c r="O39" s="30"/>
      <c r="P39" s="30"/>
      <c r="Q39" s="95"/>
    </row>
    <row r="40" spans="1:17" s="7" customFormat="1" ht="19.2" customHeight="1">
      <c r="A40" s="36" t="str">
        <f>IF(TRIM(G40)&lt;&gt;"",COUNTA(G$7:$G40)&amp;"","")</f>
        <v/>
      </c>
      <c r="B40" s="37"/>
      <c r="C40" s="37"/>
      <c r="D40" s="38"/>
      <c r="E40" s="39" t="s">
        <v>104</v>
      </c>
      <c r="F40" s="40"/>
      <c r="G40" s="41"/>
      <c r="H40" s="42"/>
      <c r="I40" s="76"/>
      <c r="J40" s="77"/>
      <c r="K40" s="78"/>
      <c r="L40" s="79"/>
      <c r="M40" s="80"/>
      <c r="N40" s="80"/>
      <c r="O40" s="78"/>
      <c r="P40" s="81"/>
      <c r="Q40" s="96"/>
    </row>
    <row r="41" spans="1:17" customFormat="1">
      <c r="A41" s="36" t="str">
        <f>IF(TRIM(G41)&lt;&gt;"",COUNTA(G$7:$G41)&amp;"","")</f>
        <v>20</v>
      </c>
      <c r="B41" s="37"/>
      <c r="C41" s="6"/>
      <c r="D41" s="38"/>
      <c r="E41" s="43" t="s">
        <v>105</v>
      </c>
      <c r="F41" s="40">
        <v>1</v>
      </c>
      <c r="G41" s="44" t="s">
        <v>85</v>
      </c>
      <c r="H41" s="42">
        <v>0</v>
      </c>
      <c r="I41" s="76">
        <f>IF(F41=0,"",F41+(F41*H41))</f>
        <v>1</v>
      </c>
      <c r="J41" s="77">
        <v>862.96</v>
      </c>
      <c r="K41" s="78">
        <f t="shared" ref="K41" si="17">IF(F41=0,"",J41*I41)</f>
        <v>862.96</v>
      </c>
      <c r="L41" s="79">
        <v>93.171949999999995</v>
      </c>
      <c r="M41" s="84">
        <v>7.2439999999999998</v>
      </c>
      <c r="N41" s="80">
        <f t="shared" ref="N41" si="18">L41*M41</f>
        <v>674.93760580000003</v>
      </c>
      <c r="O41" s="78">
        <f t="shared" ref="O41" si="19">I41*N41</f>
        <v>674.93760580000003</v>
      </c>
      <c r="P41" s="81">
        <f t="shared" ref="P41" si="20">K41+O41</f>
        <v>1537.8976058000001</v>
      </c>
      <c r="Q41" s="96"/>
    </row>
    <row r="42" spans="1:17" customFormat="1">
      <c r="A42" s="36" t="str">
        <f>IF(TRIM(G42)&lt;&gt;"",COUNTA(G$7:$G42)&amp;"","")</f>
        <v/>
      </c>
      <c r="B42" s="5"/>
      <c r="C42" s="6"/>
      <c r="D42" s="38"/>
      <c r="E42" s="45"/>
      <c r="F42" s="40"/>
      <c r="G42" s="41"/>
      <c r="H42" s="42"/>
      <c r="I42" s="76"/>
      <c r="J42" s="77"/>
      <c r="K42" s="78"/>
      <c r="L42" s="79"/>
      <c r="M42" s="84"/>
      <c r="N42" s="80"/>
      <c r="O42" s="78"/>
      <c r="P42" s="81"/>
      <c r="Q42" s="96"/>
    </row>
    <row r="43" spans="1:17" s="7" customFormat="1" ht="19.2" customHeight="1">
      <c r="A43" s="36" t="str">
        <f>IF(TRIM(G43)&lt;&gt;"",COUNTA(G$7:$G43)&amp;"","")</f>
        <v/>
      </c>
      <c r="B43" s="37"/>
      <c r="C43" s="37"/>
      <c r="D43" s="38"/>
      <c r="E43" s="39" t="s">
        <v>106</v>
      </c>
      <c r="F43" s="40"/>
      <c r="G43" s="41"/>
      <c r="H43" s="42"/>
      <c r="I43" s="76"/>
      <c r="J43" s="77"/>
      <c r="K43" s="78"/>
      <c r="L43" s="79"/>
      <c r="M43" s="80"/>
      <c r="N43" s="80"/>
      <c r="O43" s="78"/>
      <c r="P43" s="81"/>
      <c r="Q43" s="96"/>
    </row>
    <row r="44" spans="1:17" customFormat="1" ht="86.4">
      <c r="A44" s="36" t="str">
        <f>IF(TRIM(G44)&lt;&gt;"",COUNTA(G$7:$G44)&amp;"","")</f>
        <v>21</v>
      </c>
      <c r="B44" s="37"/>
      <c r="C44" s="6"/>
      <c r="D44" s="38"/>
      <c r="E44" s="43" t="s">
        <v>107</v>
      </c>
      <c r="F44" s="40">
        <v>1</v>
      </c>
      <c r="G44" s="44" t="s">
        <v>85</v>
      </c>
      <c r="H44" s="42">
        <v>0</v>
      </c>
      <c r="I44" s="76">
        <f>IF(F44=0,"",F44+(F44*H44))</f>
        <v>1</v>
      </c>
      <c r="J44" s="77">
        <v>393.96</v>
      </c>
      <c r="K44" s="78">
        <f t="shared" ref="K44" si="21">IF(F44=0,"",J44*I44)</f>
        <v>393.96</v>
      </c>
      <c r="L44" s="79">
        <v>93.171949999999995</v>
      </c>
      <c r="M44" s="84">
        <v>2.4209999999999998</v>
      </c>
      <c r="N44" s="80">
        <f t="shared" ref="N44" si="22">L44*M44</f>
        <v>225.56929095000001</v>
      </c>
      <c r="O44" s="78">
        <f t="shared" ref="O44" si="23">I44*N44</f>
        <v>225.56929095000001</v>
      </c>
      <c r="P44" s="81">
        <f t="shared" ref="P44" si="24">K44+O44</f>
        <v>619.52929095000002</v>
      </c>
      <c r="Q44" s="96"/>
    </row>
    <row r="45" spans="1:17" customFormat="1">
      <c r="A45" s="36" t="str">
        <f>IF(TRIM(G45)&lt;&gt;"",COUNTA(G$7:$G45)&amp;"","")</f>
        <v/>
      </c>
      <c r="B45" s="37"/>
      <c r="C45" s="6"/>
      <c r="D45" s="38"/>
      <c r="E45" s="43"/>
      <c r="F45" s="40"/>
      <c r="G45" s="44"/>
      <c r="H45" s="42"/>
      <c r="I45" s="76"/>
      <c r="J45" s="77"/>
      <c r="K45" s="78"/>
      <c r="L45" s="79"/>
      <c r="M45" s="84"/>
      <c r="N45" s="80"/>
      <c r="O45" s="78"/>
      <c r="P45" s="81"/>
      <c r="Q45" s="96"/>
    </row>
    <row r="46" spans="1:17" s="7" customFormat="1" ht="19.2" customHeight="1">
      <c r="A46" s="36" t="str">
        <f>IF(TRIM(G46)&lt;&gt;"",COUNTA(G$7:$G46)&amp;"","")</f>
        <v/>
      </c>
      <c r="B46" s="37"/>
      <c r="C46" s="37"/>
      <c r="D46" s="38"/>
      <c r="E46" s="39" t="s">
        <v>108</v>
      </c>
      <c r="F46" s="40"/>
      <c r="G46" s="41"/>
      <c r="H46" s="42"/>
      <c r="I46" s="76"/>
      <c r="J46" s="77"/>
      <c r="K46" s="78"/>
      <c r="L46" s="79"/>
      <c r="M46" s="80"/>
      <c r="N46" s="80"/>
      <c r="O46" s="78"/>
      <c r="P46" s="81"/>
      <c r="Q46" s="96"/>
    </row>
    <row r="47" spans="1:17" customFormat="1">
      <c r="A47" s="36" t="str">
        <f>IF(TRIM(G47)&lt;&gt;"",COUNTA(G$7:$G47)&amp;"","")</f>
        <v>22</v>
      </c>
      <c r="B47" s="37"/>
      <c r="C47" s="6"/>
      <c r="D47" s="38"/>
      <c r="E47" s="43" t="s">
        <v>109</v>
      </c>
      <c r="F47" s="40">
        <v>2</v>
      </c>
      <c r="G47" s="44" t="s">
        <v>85</v>
      </c>
      <c r="H47" s="42">
        <v>0</v>
      </c>
      <c r="I47" s="76">
        <f>IF(F47=0,"",F47+(F47*H47))</f>
        <v>2</v>
      </c>
      <c r="J47" s="77">
        <v>267.33</v>
      </c>
      <c r="K47" s="78">
        <f t="shared" ref="K47" si="25">IF(F47=0,"",J47*I47)</f>
        <v>534.66</v>
      </c>
      <c r="L47" s="79">
        <v>101.06045</v>
      </c>
      <c r="M47" s="84">
        <v>2.919</v>
      </c>
      <c r="N47" s="80">
        <f t="shared" ref="N47" si="26">L47*M47</f>
        <v>294.99545354999998</v>
      </c>
      <c r="O47" s="78">
        <f t="shared" ref="O47" si="27">I47*N47</f>
        <v>589.99090709999996</v>
      </c>
      <c r="P47" s="81">
        <f t="shared" ref="P47" si="28">K47+O47</f>
        <v>1124.6509071</v>
      </c>
      <c r="Q47" s="96"/>
    </row>
    <row r="48" spans="1:17" customFormat="1">
      <c r="A48" s="36" t="str">
        <f>IF(TRIM(G48)&lt;&gt;"",COUNTA(G$7:$G48)&amp;"","")</f>
        <v/>
      </c>
      <c r="B48" s="5"/>
      <c r="C48" s="6"/>
      <c r="D48" s="38"/>
      <c r="E48" s="45"/>
      <c r="F48" s="40"/>
      <c r="G48" s="41"/>
      <c r="H48" s="42"/>
      <c r="I48" s="76"/>
      <c r="J48" s="77"/>
      <c r="K48" s="78"/>
      <c r="L48" s="79"/>
      <c r="M48" s="84"/>
      <c r="N48" s="80"/>
      <c r="O48" s="78"/>
      <c r="P48" s="81"/>
      <c r="Q48" s="96"/>
    </row>
    <row r="49" spans="1:17" s="8" customFormat="1" ht="15.6">
      <c r="A49" s="36" t="str">
        <f>IF(TRIM(G49)&lt;&gt;"",COUNTA(G$7:$G49)&amp;"","")</f>
        <v/>
      </c>
      <c r="B49" s="48"/>
      <c r="C49" s="48"/>
      <c r="D49" s="49"/>
      <c r="E49" s="50"/>
      <c r="F49" s="51"/>
      <c r="G49" s="52"/>
      <c r="H49" s="53" t="s">
        <v>93</v>
      </c>
      <c r="I49" s="85"/>
      <c r="J49" s="86">
        <f>SUM(K40:K48)</f>
        <v>1791.58</v>
      </c>
      <c r="K49" s="263" t="s">
        <v>94</v>
      </c>
      <c r="L49" s="264"/>
      <c r="M49" s="87">
        <f>SUM(O40:O48)</f>
        <v>1490.4978038500001</v>
      </c>
      <c r="N49" s="263"/>
      <c r="O49" s="264"/>
      <c r="P49" s="88"/>
      <c r="Q49" s="97">
        <f>SUM(P40:P48)</f>
        <v>3282.0778038499998</v>
      </c>
    </row>
    <row r="50" spans="1:17">
      <c r="A50" s="54" t="str">
        <f>IF(TRIM(G50)&lt;&gt;"",COUNTA(G$7:$G50)&amp;"","")</f>
        <v/>
      </c>
      <c r="B50" s="6"/>
      <c r="C50" s="6"/>
      <c r="D50" s="55"/>
      <c r="E50" s="56"/>
      <c r="F50" s="40"/>
      <c r="G50" s="41"/>
      <c r="H50" s="42" t="str">
        <f>IF(F50=0,"",0)</f>
        <v/>
      </c>
      <c r="I50" s="76" t="str">
        <f t="shared" ref="I50:I67" si="29">IF(F50=0,"",F50+(F50*H50))</f>
        <v/>
      </c>
      <c r="J50" s="77" t="str">
        <f>IF(F50=0,"",0)</f>
        <v/>
      </c>
      <c r="K50" s="78" t="str">
        <f>IF(F50=0,"",J50*I50)</f>
        <v/>
      </c>
      <c r="L50" s="79" t="str">
        <f>IF(F50=0,"",#REF!)</f>
        <v/>
      </c>
      <c r="M50" s="80" t="str">
        <f>IF(F50=0,"",0)</f>
        <v/>
      </c>
      <c r="N50" s="80" t="str">
        <f>IF(F50=0,"",M50*I50)</f>
        <v/>
      </c>
      <c r="O50" s="78" t="str">
        <f>IF(F50=0,"",N50*L50)</f>
        <v/>
      </c>
      <c r="P50" s="81" t="str">
        <f>IF(F50=0,"",K50+O50)</f>
        <v/>
      </c>
      <c r="Q50" s="96"/>
    </row>
    <row r="51" spans="1:17" ht="20.100000000000001" customHeight="1">
      <c r="A51" s="29" t="str">
        <f>IF(TRIM(G51)&lt;&gt;"",COUNTA(G$7:$G51)&amp;"","")</f>
        <v/>
      </c>
      <c r="B51" s="30"/>
      <c r="C51" s="31" t="s">
        <v>1</v>
      </c>
      <c r="D51" s="32" t="s">
        <v>110</v>
      </c>
      <c r="E51" s="33" t="s">
        <v>111</v>
      </c>
      <c r="F51" s="34"/>
      <c r="G51" s="35"/>
      <c r="H51" s="30"/>
      <c r="I51" s="74"/>
      <c r="J51" s="30"/>
      <c r="K51" s="30"/>
      <c r="L51" s="30"/>
      <c r="M51" s="75"/>
      <c r="N51" s="30"/>
      <c r="O51" s="30"/>
      <c r="P51" s="30"/>
      <c r="Q51" s="95"/>
    </row>
    <row r="52" spans="1:17" customFormat="1">
      <c r="A52" s="36" t="str">
        <f>IF(TRIM(G52)&lt;&gt;"",COUNTA(G$7:$G52)&amp;"","")</f>
        <v/>
      </c>
      <c r="B52" s="37"/>
      <c r="C52" s="6"/>
      <c r="D52" s="38"/>
      <c r="E52" s="39" t="s">
        <v>112</v>
      </c>
      <c r="F52" s="57"/>
      <c r="G52" s="54"/>
      <c r="H52" s="42"/>
      <c r="I52" s="76"/>
      <c r="J52" s="77"/>
      <c r="K52" s="78"/>
      <c r="L52" s="79"/>
      <c r="M52" s="84"/>
      <c r="N52" s="80"/>
      <c r="O52" s="78"/>
      <c r="P52" s="81"/>
      <c r="Q52" s="96"/>
    </row>
    <row r="53" spans="1:17" customFormat="1">
      <c r="A53" s="36" t="str">
        <f>IF(TRIM(G53)&lt;&gt;"",COUNTA(G$7:$G53)&amp;"","")</f>
        <v>23</v>
      </c>
      <c r="B53" s="37"/>
      <c r="C53" s="6"/>
      <c r="D53" s="38"/>
      <c r="E53" s="58" t="s">
        <v>113</v>
      </c>
      <c r="F53" s="59">
        <v>14.12</v>
      </c>
      <c r="G53" s="60" t="s">
        <v>82</v>
      </c>
      <c r="H53" s="42"/>
      <c r="I53" s="76"/>
      <c r="J53" s="77"/>
      <c r="K53" s="78"/>
      <c r="L53" s="79"/>
      <c r="M53" s="84"/>
      <c r="N53" s="80"/>
      <c r="O53" s="78"/>
      <c r="P53" s="81"/>
      <c r="Q53" s="96"/>
    </row>
    <row r="54" spans="1:17" customFormat="1">
      <c r="A54" s="36" t="str">
        <f>IF(TRIM(G54)&lt;&gt;"",COUNTA(G$7:$G54)&amp;"","")</f>
        <v>24</v>
      </c>
      <c r="B54" s="37"/>
      <c r="C54" s="6"/>
      <c r="D54" s="38"/>
      <c r="E54" s="61" t="s">
        <v>114</v>
      </c>
      <c r="F54" s="62">
        <v>66.599999999999994</v>
      </c>
      <c r="G54" s="63" t="s">
        <v>75</v>
      </c>
      <c r="H54" s="42">
        <v>0.1</v>
      </c>
      <c r="I54" s="76">
        <f t="shared" si="29"/>
        <v>73.260000000000005</v>
      </c>
      <c r="J54" s="77">
        <v>0.9849</v>
      </c>
      <c r="K54" s="78">
        <f t="shared" ref="K54" si="30">IF(F54=0,"",J54*I54)</f>
        <v>72.153773999999999</v>
      </c>
      <c r="L54" s="79">
        <v>93.171949999999995</v>
      </c>
      <c r="M54" s="84">
        <v>3.6999999999999998E-2</v>
      </c>
      <c r="N54" s="80">
        <f t="shared" ref="N54" si="31">L54*M54</f>
        <v>3.44736215</v>
      </c>
      <c r="O54" s="78">
        <f t="shared" ref="O54" si="32">I54*N54</f>
        <v>252.55375110899999</v>
      </c>
      <c r="P54" s="81">
        <f t="shared" ref="P54" si="33">K54+O54</f>
        <v>324.70752510900002</v>
      </c>
      <c r="Q54" s="96"/>
    </row>
    <row r="55" spans="1:17" customFormat="1">
      <c r="A55" s="36" t="str">
        <f>IF(TRIM(G55)&lt;&gt;"",COUNTA(G$7:$G55)&amp;"","")</f>
        <v>25</v>
      </c>
      <c r="B55" s="37"/>
      <c r="C55" s="6"/>
      <c r="D55" s="38"/>
      <c r="E55" s="64" t="s">
        <v>115</v>
      </c>
      <c r="F55" s="62">
        <f>+ROUNDUP(F54/32,0)</f>
        <v>3</v>
      </c>
      <c r="G55" s="65" t="s">
        <v>85</v>
      </c>
      <c r="H55" s="42">
        <v>0</v>
      </c>
      <c r="I55" s="76">
        <f t="shared" si="29"/>
        <v>3</v>
      </c>
      <c r="J55" s="82"/>
      <c r="K55" s="83"/>
      <c r="L55" s="89"/>
      <c r="M55" s="90"/>
      <c r="N55" s="91"/>
      <c r="O55" s="83"/>
      <c r="P55" s="92"/>
      <c r="Q55" s="96"/>
    </row>
    <row r="56" spans="1:17" customFormat="1">
      <c r="A56" s="36" t="str">
        <f>IF(TRIM(G56)&lt;&gt;"",COUNTA(G$7:$G56)&amp;"","")</f>
        <v>26</v>
      </c>
      <c r="B56" s="37"/>
      <c r="C56" s="6"/>
      <c r="D56" s="38"/>
      <c r="E56" s="64" t="s">
        <v>116</v>
      </c>
      <c r="F56" s="62">
        <f>ROUNDUP(F54*1.33,0)</f>
        <v>89</v>
      </c>
      <c r="G56" s="65" t="s">
        <v>85</v>
      </c>
      <c r="H56" s="42">
        <v>0</v>
      </c>
      <c r="I56" s="76">
        <f t="shared" si="29"/>
        <v>89</v>
      </c>
      <c r="J56" s="82"/>
      <c r="K56" s="83"/>
      <c r="L56" s="89"/>
      <c r="M56" s="90"/>
      <c r="N56" s="91"/>
      <c r="O56" s="83"/>
      <c r="P56" s="92"/>
      <c r="Q56" s="96"/>
    </row>
    <row r="57" spans="1:17" customFormat="1">
      <c r="A57" s="36" t="str">
        <f>IF(TRIM(G57)&lt;&gt;"",COUNTA(G$7:$G57)&amp;"","")</f>
        <v>27</v>
      </c>
      <c r="B57" s="37"/>
      <c r="C57" s="6"/>
      <c r="D57" s="38"/>
      <c r="E57" s="64" t="s">
        <v>117</v>
      </c>
      <c r="F57" s="62">
        <f>ROUNDUP(F55*16,0)</f>
        <v>48</v>
      </c>
      <c r="G57" s="65" t="s">
        <v>82</v>
      </c>
      <c r="H57" s="42">
        <v>0.05</v>
      </c>
      <c r="I57" s="76">
        <f t="shared" si="29"/>
        <v>50.4</v>
      </c>
      <c r="J57" s="82"/>
      <c r="K57" s="83"/>
      <c r="L57" s="89"/>
      <c r="M57" s="90"/>
      <c r="N57" s="91"/>
      <c r="O57" s="83"/>
      <c r="P57" s="92"/>
      <c r="Q57" s="96"/>
    </row>
    <row r="58" spans="1:17" customFormat="1">
      <c r="A58" s="36" t="str">
        <f>IF(TRIM(G58)&lt;&gt;"",COUNTA(G$7:$G58)&amp;"","")</f>
        <v>28</v>
      </c>
      <c r="B58" s="37"/>
      <c r="C58" s="6"/>
      <c r="D58" s="38"/>
      <c r="E58" s="64" t="s">
        <v>118</v>
      </c>
      <c r="F58" s="62">
        <f>F54*0.084</f>
        <v>5.5944000000000003</v>
      </c>
      <c r="G58" s="65" t="s">
        <v>119</v>
      </c>
      <c r="H58" s="42">
        <v>0.05</v>
      </c>
      <c r="I58" s="76">
        <f t="shared" si="29"/>
        <v>5.8741199999999996</v>
      </c>
      <c r="J58" s="82"/>
      <c r="K58" s="83"/>
      <c r="L58" s="89"/>
      <c r="M58" s="90"/>
      <c r="N58" s="91"/>
      <c r="O58" s="83"/>
      <c r="P58" s="92"/>
      <c r="Q58" s="96"/>
    </row>
    <row r="59" spans="1:17" customFormat="1">
      <c r="A59" s="36" t="str">
        <f>IF(TRIM(G59)&lt;&gt;"",COUNTA(G$7:$G59)&amp;"","")</f>
        <v>29</v>
      </c>
      <c r="B59" s="37"/>
      <c r="C59" s="6"/>
      <c r="D59" s="38"/>
      <c r="E59" s="61" t="s">
        <v>120</v>
      </c>
      <c r="F59" s="62">
        <v>81.400000000000006</v>
      </c>
      <c r="G59" s="63" t="s">
        <v>75</v>
      </c>
      <c r="H59" s="42">
        <v>0.1</v>
      </c>
      <c r="I59" s="76">
        <f t="shared" si="29"/>
        <v>89.54</v>
      </c>
      <c r="J59" s="77">
        <v>1.04118</v>
      </c>
      <c r="K59" s="78">
        <f t="shared" ref="K59" si="34">IF(F59=0,"",J59*I59)</f>
        <v>93.227257199999997</v>
      </c>
      <c r="L59" s="79">
        <v>93.171949999999995</v>
      </c>
      <c r="M59" s="84">
        <v>3.6999999999999998E-2</v>
      </c>
      <c r="N59" s="80">
        <f t="shared" ref="N59" si="35">L59*M59</f>
        <v>3.44736215</v>
      </c>
      <c r="O59" s="78">
        <f t="shared" ref="O59" si="36">I59*N59</f>
        <v>308.67680691100003</v>
      </c>
      <c r="P59" s="81">
        <f t="shared" ref="P59" si="37">K59+O59</f>
        <v>401.90406411100003</v>
      </c>
      <c r="Q59" s="96"/>
    </row>
    <row r="60" spans="1:17" customFormat="1">
      <c r="A60" s="36" t="str">
        <f>IF(TRIM(G60)&lt;&gt;"",COUNTA(G$7:$G60)&amp;"","")</f>
        <v>30</v>
      </c>
      <c r="B60" s="37"/>
      <c r="C60" s="6"/>
      <c r="D60" s="38"/>
      <c r="E60" s="64" t="s">
        <v>115</v>
      </c>
      <c r="F60" s="62">
        <f>+ROUNDUP(F59/32,0)</f>
        <v>3</v>
      </c>
      <c r="G60" s="65" t="s">
        <v>85</v>
      </c>
      <c r="H60" s="42">
        <v>0</v>
      </c>
      <c r="I60" s="76">
        <f t="shared" si="29"/>
        <v>3</v>
      </c>
      <c r="J60" s="82"/>
      <c r="K60" s="83"/>
      <c r="L60" s="89"/>
      <c r="M60" s="90"/>
      <c r="N60" s="91"/>
      <c r="O60" s="83"/>
      <c r="P60" s="92"/>
      <c r="Q60" s="96"/>
    </row>
    <row r="61" spans="1:17" customFormat="1">
      <c r="A61" s="36" t="str">
        <f>IF(TRIM(G61)&lt;&gt;"",COUNTA(G$7:$G61)&amp;"","")</f>
        <v>31</v>
      </c>
      <c r="B61" s="37"/>
      <c r="C61" s="6"/>
      <c r="D61" s="38"/>
      <c r="E61" s="64" t="s">
        <v>116</v>
      </c>
      <c r="F61" s="62">
        <f>ROUNDUP(F59*1.33,0)</f>
        <v>109</v>
      </c>
      <c r="G61" s="65" t="s">
        <v>85</v>
      </c>
      <c r="H61" s="42">
        <v>0</v>
      </c>
      <c r="I61" s="76">
        <f t="shared" si="29"/>
        <v>109</v>
      </c>
      <c r="J61" s="82"/>
      <c r="K61" s="83"/>
      <c r="L61" s="89"/>
      <c r="M61" s="90"/>
      <c r="N61" s="91"/>
      <c r="O61" s="83"/>
      <c r="P61" s="92"/>
      <c r="Q61" s="96"/>
    </row>
    <row r="62" spans="1:17" customFormat="1">
      <c r="A62" s="36" t="str">
        <f>IF(TRIM(G62)&lt;&gt;"",COUNTA(G$7:$G62)&amp;"","")</f>
        <v>32</v>
      </c>
      <c r="B62" s="37"/>
      <c r="C62" s="6"/>
      <c r="D62" s="38"/>
      <c r="E62" s="64" t="s">
        <v>117</v>
      </c>
      <c r="F62" s="62">
        <f>ROUNDUP(F60*16,0)</f>
        <v>48</v>
      </c>
      <c r="G62" s="65" t="s">
        <v>82</v>
      </c>
      <c r="H62" s="42">
        <v>0.05</v>
      </c>
      <c r="I62" s="76">
        <f t="shared" si="29"/>
        <v>50.4</v>
      </c>
      <c r="J62" s="82"/>
      <c r="K62" s="83"/>
      <c r="L62" s="89"/>
      <c r="M62" s="90"/>
      <c r="N62" s="91"/>
      <c r="O62" s="83"/>
      <c r="P62" s="92"/>
      <c r="Q62" s="96"/>
    </row>
    <row r="63" spans="1:17" customFormat="1">
      <c r="A63" s="36" t="str">
        <f>IF(TRIM(G63)&lt;&gt;"",COUNTA(G$7:$G63)&amp;"","")</f>
        <v>33</v>
      </c>
      <c r="B63" s="37"/>
      <c r="C63" s="6"/>
      <c r="D63" s="38"/>
      <c r="E63" s="64" t="s">
        <v>118</v>
      </c>
      <c r="F63" s="62">
        <f>F59*0.084</f>
        <v>6.8376000000000001</v>
      </c>
      <c r="G63" s="65" t="s">
        <v>119</v>
      </c>
      <c r="H63" s="42">
        <v>0.05</v>
      </c>
      <c r="I63" s="76">
        <f t="shared" si="29"/>
        <v>7.1794799999999999</v>
      </c>
      <c r="J63" s="82"/>
      <c r="K63" s="83"/>
      <c r="L63" s="89"/>
      <c r="M63" s="90"/>
      <c r="N63" s="91"/>
      <c r="O63" s="83"/>
      <c r="P63" s="92"/>
      <c r="Q63" s="96"/>
    </row>
    <row r="64" spans="1:17" customFormat="1">
      <c r="A64" s="36" t="str">
        <f>IF(TRIM(G64)&lt;&gt;"",COUNTA(G$7:$G64)&amp;"","")</f>
        <v>34</v>
      </c>
      <c r="B64" s="37"/>
      <c r="C64" s="6"/>
      <c r="D64" s="38"/>
      <c r="E64" s="61" t="s">
        <v>121</v>
      </c>
      <c r="F64" s="62">
        <f>148/1.33</f>
        <v>111.27819548872201</v>
      </c>
      <c r="G64" s="63" t="s">
        <v>82</v>
      </c>
      <c r="H64" s="42">
        <v>0.05</v>
      </c>
      <c r="I64" s="76">
        <f t="shared" si="29"/>
        <v>116.842105263158</v>
      </c>
      <c r="J64" s="77">
        <v>1.3031634000000001</v>
      </c>
      <c r="K64" s="78">
        <f t="shared" ref="K64:K67" si="38">IF(F64=0,"",J64*I64)</f>
        <v>152.26435515789501</v>
      </c>
      <c r="L64" s="79">
        <v>93.171949999999995</v>
      </c>
      <c r="M64" s="84">
        <v>2.6312499999999999E-2</v>
      </c>
      <c r="N64" s="80">
        <f t="shared" ref="N64:N67" si="39">L64*M64</f>
        <v>2.4515869343749999</v>
      </c>
      <c r="O64" s="78">
        <f t="shared" ref="O64:O67" si="40">I64*N64</f>
        <v>286.448578648026</v>
      </c>
      <c r="P64" s="81">
        <f t="shared" ref="P64:P67" si="41">K64+O64</f>
        <v>438.71293380592101</v>
      </c>
      <c r="Q64" s="96"/>
    </row>
    <row r="65" spans="1:17" customFormat="1">
      <c r="A65" s="36" t="str">
        <f>IF(TRIM(G65)&lt;&gt;"",COUNTA(G$7:$G65)&amp;"","")</f>
        <v>35</v>
      </c>
      <c r="B65" s="37"/>
      <c r="C65" s="6"/>
      <c r="D65" s="38"/>
      <c r="E65" s="61" t="s">
        <v>122</v>
      </c>
      <c r="F65" s="62">
        <f>F53*2</f>
        <v>28.24</v>
      </c>
      <c r="G65" s="63" t="s">
        <v>82</v>
      </c>
      <c r="H65" s="42">
        <v>0.05</v>
      </c>
      <c r="I65" s="76">
        <f t="shared" si="29"/>
        <v>29.652000000000001</v>
      </c>
      <c r="J65" s="77">
        <v>2.41875025</v>
      </c>
      <c r="K65" s="78">
        <f t="shared" si="38"/>
        <v>71.720782412999995</v>
      </c>
      <c r="L65" s="79">
        <v>93.171949999999995</v>
      </c>
      <c r="M65" s="84">
        <v>3.3680000000000002E-2</v>
      </c>
      <c r="N65" s="80">
        <f t="shared" si="39"/>
        <v>3.138031276</v>
      </c>
      <c r="O65" s="78">
        <f t="shared" si="40"/>
        <v>93.048903395951996</v>
      </c>
      <c r="P65" s="81">
        <f t="shared" si="41"/>
        <v>164.769685808952</v>
      </c>
      <c r="Q65" s="96"/>
    </row>
    <row r="66" spans="1:17" customFormat="1">
      <c r="A66" s="36" t="str">
        <f>IF(TRIM(G66)&lt;&gt;"",COUNTA(G$7:$G66)&amp;"","")</f>
        <v>36</v>
      </c>
      <c r="B66" s="37"/>
      <c r="C66" s="6"/>
      <c r="D66" s="38"/>
      <c r="E66" s="61" t="s">
        <v>123</v>
      </c>
      <c r="F66" s="62">
        <f>F53</f>
        <v>14.12</v>
      </c>
      <c r="G66" s="63" t="s">
        <v>82</v>
      </c>
      <c r="H66" s="42">
        <v>0.05</v>
      </c>
      <c r="I66" s="76">
        <f t="shared" si="29"/>
        <v>14.826000000000001</v>
      </c>
      <c r="J66" s="77">
        <v>2.41875025</v>
      </c>
      <c r="K66" s="78">
        <f t="shared" si="38"/>
        <v>35.860391206499997</v>
      </c>
      <c r="L66" s="79">
        <v>93.171949999999995</v>
      </c>
      <c r="M66" s="84">
        <v>3.3680000000000002E-2</v>
      </c>
      <c r="N66" s="80">
        <f t="shared" si="39"/>
        <v>3.138031276</v>
      </c>
      <c r="O66" s="78">
        <f t="shared" si="40"/>
        <v>46.524451697975998</v>
      </c>
      <c r="P66" s="81">
        <f t="shared" si="41"/>
        <v>82.384842904476002</v>
      </c>
      <c r="Q66" s="96"/>
    </row>
    <row r="67" spans="1:17" customFormat="1">
      <c r="A67" s="36" t="str">
        <f>IF(TRIM(G67)&lt;&gt;"",COUNTA(G$7:$G67)&amp;"","")</f>
        <v>37</v>
      </c>
      <c r="B67" s="37"/>
      <c r="C67" s="6"/>
      <c r="D67" s="38"/>
      <c r="E67" s="61" t="s">
        <v>124</v>
      </c>
      <c r="F67" s="62">
        <f>F53*4</f>
        <v>56.48</v>
      </c>
      <c r="G67" s="63" t="s">
        <v>82</v>
      </c>
      <c r="H67" s="42">
        <v>0.05</v>
      </c>
      <c r="I67" s="76">
        <f t="shared" si="29"/>
        <v>59.304000000000002</v>
      </c>
      <c r="J67" s="77">
        <v>0.60970000000000002</v>
      </c>
      <c r="K67" s="78">
        <f t="shared" si="38"/>
        <v>36.157648799999997</v>
      </c>
      <c r="L67" s="79">
        <v>93.171949999999995</v>
      </c>
      <c r="M67" s="84">
        <v>3.2000000000000001E-2</v>
      </c>
      <c r="N67" s="80">
        <f t="shared" si="39"/>
        <v>2.9815024000000001</v>
      </c>
      <c r="O67" s="78">
        <f t="shared" si="40"/>
        <v>176.81501832960001</v>
      </c>
      <c r="P67" s="81">
        <f t="shared" si="41"/>
        <v>212.97266712960001</v>
      </c>
      <c r="Q67" s="96"/>
    </row>
    <row r="68" spans="1:17" customFormat="1">
      <c r="A68" s="36" t="str">
        <f>IF(TRIM(G68)&lt;&gt;"",COUNTA(G$7:$G68)&amp;"","")</f>
        <v/>
      </c>
      <c r="B68" s="37"/>
      <c r="C68" s="6"/>
      <c r="D68" s="38"/>
      <c r="E68" s="98"/>
      <c r="F68" s="57"/>
      <c r="G68" s="54"/>
      <c r="H68" s="42"/>
      <c r="I68" s="76"/>
      <c r="J68" s="77"/>
      <c r="K68" s="78"/>
      <c r="L68" s="79"/>
      <c r="M68" s="84"/>
      <c r="N68" s="80"/>
      <c r="O68" s="78"/>
      <c r="P68" s="81"/>
      <c r="Q68" s="96"/>
    </row>
    <row r="69" spans="1:17" customFormat="1">
      <c r="A69" s="36" t="str">
        <f>IF(TRIM(G69)&lt;&gt;"",COUNTA(G$7:$G69)&amp;"","")</f>
        <v>38</v>
      </c>
      <c r="B69" s="37"/>
      <c r="C69" s="6"/>
      <c r="D69" s="38"/>
      <c r="E69" s="58" t="s">
        <v>125</v>
      </c>
      <c r="F69" s="59">
        <v>15.72</v>
      </c>
      <c r="G69" s="60" t="s">
        <v>82</v>
      </c>
      <c r="H69" s="42"/>
      <c r="I69" s="76"/>
      <c r="J69" s="77"/>
      <c r="K69" s="78"/>
      <c r="L69" s="79"/>
      <c r="M69" s="84"/>
      <c r="N69" s="80"/>
      <c r="O69" s="78"/>
      <c r="P69" s="81"/>
      <c r="Q69" s="96"/>
    </row>
    <row r="70" spans="1:17" customFormat="1">
      <c r="A70" s="36" t="str">
        <f>IF(TRIM(G70)&lt;&gt;"",COUNTA(G$7:$G70)&amp;"","")</f>
        <v>39</v>
      </c>
      <c r="B70" s="37"/>
      <c r="C70" s="6"/>
      <c r="D70" s="38"/>
      <c r="E70" s="61" t="s">
        <v>114</v>
      </c>
      <c r="F70" s="62">
        <v>20.25</v>
      </c>
      <c r="G70" s="63" t="s">
        <v>75</v>
      </c>
      <c r="H70" s="42">
        <v>0.1</v>
      </c>
      <c r="I70" s="76">
        <f t="shared" ref="I70:I83" si="42">IF(F70=0,"",F70+(F70*H70))</f>
        <v>22.274999999999999</v>
      </c>
      <c r="J70" s="77">
        <v>0.9849</v>
      </c>
      <c r="K70" s="78">
        <f t="shared" ref="K70" si="43">IF(F70=0,"",J70*I70)</f>
        <v>21.938647499999998</v>
      </c>
      <c r="L70" s="79">
        <v>1.8406499999999999</v>
      </c>
      <c r="M70" s="84">
        <v>1.05</v>
      </c>
      <c r="N70" s="80">
        <f t="shared" ref="N70" si="44">L70*M70</f>
        <v>1.9326825000000001</v>
      </c>
      <c r="O70" s="78">
        <f t="shared" ref="O70" si="45">I70*N70</f>
        <v>43.0505026875</v>
      </c>
      <c r="P70" s="81">
        <f t="shared" ref="P70" si="46">K70+O70</f>
        <v>64.989150187500002</v>
      </c>
      <c r="Q70" s="96"/>
    </row>
    <row r="71" spans="1:17" customFormat="1">
      <c r="A71" s="36" t="str">
        <f>IF(TRIM(G71)&lt;&gt;"",COUNTA(G$7:$G71)&amp;"","")</f>
        <v>40</v>
      </c>
      <c r="B71" s="37"/>
      <c r="C71" s="6"/>
      <c r="D71" s="38"/>
      <c r="E71" s="64" t="s">
        <v>115</v>
      </c>
      <c r="F71" s="62">
        <f>+ROUNDUP(F70/32,0)</f>
        <v>1</v>
      </c>
      <c r="G71" s="65" t="s">
        <v>85</v>
      </c>
      <c r="H71" s="42">
        <v>0</v>
      </c>
      <c r="I71" s="76">
        <f t="shared" si="42"/>
        <v>1</v>
      </c>
      <c r="J71" s="82"/>
      <c r="K71" s="83"/>
      <c r="L71" s="89"/>
      <c r="M71" s="90"/>
      <c r="N71" s="91"/>
      <c r="O71" s="83"/>
      <c r="P71" s="92"/>
      <c r="Q71" s="96"/>
    </row>
    <row r="72" spans="1:17" customFormat="1">
      <c r="A72" s="36" t="str">
        <f>IF(TRIM(G72)&lt;&gt;"",COUNTA(G$7:$G72)&amp;"","")</f>
        <v>41</v>
      </c>
      <c r="B72" s="37"/>
      <c r="C72" s="6"/>
      <c r="D72" s="38"/>
      <c r="E72" s="64" t="s">
        <v>116</v>
      </c>
      <c r="F72" s="62">
        <f>ROUNDUP(F70*1.33,0)</f>
        <v>27</v>
      </c>
      <c r="G72" s="65" t="s">
        <v>85</v>
      </c>
      <c r="H72" s="42">
        <v>0</v>
      </c>
      <c r="I72" s="76">
        <f t="shared" si="42"/>
        <v>27</v>
      </c>
      <c r="J72" s="82"/>
      <c r="K72" s="83"/>
      <c r="L72" s="89"/>
      <c r="M72" s="90"/>
      <c r="N72" s="91"/>
      <c r="O72" s="83"/>
      <c r="P72" s="92"/>
      <c r="Q72" s="96"/>
    </row>
    <row r="73" spans="1:17" customFormat="1">
      <c r="A73" s="36" t="str">
        <f>IF(TRIM(G73)&lt;&gt;"",COUNTA(G$7:$G73)&amp;"","")</f>
        <v>42</v>
      </c>
      <c r="B73" s="37"/>
      <c r="C73" s="6"/>
      <c r="D73" s="38"/>
      <c r="E73" s="64" t="s">
        <v>117</v>
      </c>
      <c r="F73" s="62">
        <f>ROUNDUP(F71*16,0)</f>
        <v>16</v>
      </c>
      <c r="G73" s="65" t="s">
        <v>82</v>
      </c>
      <c r="H73" s="42">
        <v>0.05</v>
      </c>
      <c r="I73" s="76">
        <f t="shared" si="42"/>
        <v>16.8</v>
      </c>
      <c r="J73" s="82"/>
      <c r="K73" s="83"/>
      <c r="L73" s="89"/>
      <c r="M73" s="90"/>
      <c r="N73" s="91"/>
      <c r="O73" s="83"/>
      <c r="P73" s="92"/>
      <c r="Q73" s="96"/>
    </row>
    <row r="74" spans="1:17" customFormat="1">
      <c r="A74" s="36" t="str">
        <f>IF(TRIM(G74)&lt;&gt;"",COUNTA(G$7:$G74)&amp;"","")</f>
        <v>43</v>
      </c>
      <c r="B74" s="37"/>
      <c r="C74" s="6"/>
      <c r="D74" s="38"/>
      <c r="E74" s="64" t="s">
        <v>118</v>
      </c>
      <c r="F74" s="62">
        <f>F70*0.084</f>
        <v>1.7010000000000001</v>
      </c>
      <c r="G74" s="65" t="s">
        <v>119</v>
      </c>
      <c r="H74" s="42">
        <v>0.05</v>
      </c>
      <c r="I74" s="76">
        <f t="shared" si="42"/>
        <v>1.7860499999999999</v>
      </c>
      <c r="J74" s="82"/>
      <c r="K74" s="83"/>
      <c r="L74" s="89"/>
      <c r="M74" s="90"/>
      <c r="N74" s="91"/>
      <c r="O74" s="83"/>
      <c r="P74" s="92"/>
      <c r="Q74" s="96"/>
    </row>
    <row r="75" spans="1:17" customFormat="1">
      <c r="A75" s="36" t="str">
        <f>IF(TRIM(G75)&lt;&gt;"",COUNTA(G$7:$G75)&amp;"","")</f>
        <v>44</v>
      </c>
      <c r="B75" s="37"/>
      <c r="C75" s="6"/>
      <c r="D75" s="38"/>
      <c r="E75" s="61" t="s">
        <v>120</v>
      </c>
      <c r="F75" s="62">
        <v>24.75</v>
      </c>
      <c r="G75" s="63" t="s">
        <v>75</v>
      </c>
      <c r="H75" s="42">
        <v>0.1</v>
      </c>
      <c r="I75" s="76">
        <f t="shared" si="42"/>
        <v>27.225000000000001</v>
      </c>
      <c r="J75" s="77">
        <v>1.04118</v>
      </c>
      <c r="K75" s="78">
        <f t="shared" ref="K75" si="47">IF(F75=0,"",J75*I75)</f>
        <v>28.346125499999999</v>
      </c>
      <c r="L75" s="79">
        <v>93.171949999999995</v>
      </c>
      <c r="M75" s="84">
        <v>3.6999999999999998E-2</v>
      </c>
      <c r="N75" s="80">
        <f t="shared" ref="N75" si="48">L75*M75</f>
        <v>3.44736215</v>
      </c>
      <c r="O75" s="78">
        <f t="shared" ref="O75" si="49">I75*N75</f>
        <v>93.854434533749995</v>
      </c>
      <c r="P75" s="81">
        <f t="shared" ref="P75" si="50">K75+O75</f>
        <v>122.20056003374999</v>
      </c>
      <c r="Q75" s="96"/>
    </row>
    <row r="76" spans="1:17" customFormat="1">
      <c r="A76" s="36" t="str">
        <f>IF(TRIM(G76)&lt;&gt;"",COUNTA(G$7:$G76)&amp;"","")</f>
        <v>45</v>
      </c>
      <c r="B76" s="37"/>
      <c r="C76" s="6"/>
      <c r="D76" s="38"/>
      <c r="E76" s="64" t="s">
        <v>115</v>
      </c>
      <c r="F76" s="62">
        <f>+ROUNDUP(F75/32,0)</f>
        <v>1</v>
      </c>
      <c r="G76" s="65" t="s">
        <v>85</v>
      </c>
      <c r="H76" s="42">
        <v>0</v>
      </c>
      <c r="I76" s="76">
        <f t="shared" si="42"/>
        <v>1</v>
      </c>
      <c r="J76" s="82"/>
      <c r="K76" s="83"/>
      <c r="L76" s="89"/>
      <c r="M76" s="90"/>
      <c r="N76" s="91"/>
      <c r="O76" s="83"/>
      <c r="P76" s="92"/>
      <c r="Q76" s="96"/>
    </row>
    <row r="77" spans="1:17" customFormat="1">
      <c r="A77" s="36" t="str">
        <f>IF(TRIM(G77)&lt;&gt;"",COUNTA(G$7:$G77)&amp;"","")</f>
        <v>46</v>
      </c>
      <c r="B77" s="37"/>
      <c r="C77" s="6"/>
      <c r="D77" s="38"/>
      <c r="E77" s="64" t="s">
        <v>116</v>
      </c>
      <c r="F77" s="62">
        <f>ROUNDUP(F75*1.33,0)</f>
        <v>33</v>
      </c>
      <c r="G77" s="65" t="s">
        <v>85</v>
      </c>
      <c r="H77" s="42">
        <v>0</v>
      </c>
      <c r="I77" s="76">
        <f t="shared" si="42"/>
        <v>33</v>
      </c>
      <c r="J77" s="82"/>
      <c r="K77" s="83"/>
      <c r="L77" s="89"/>
      <c r="M77" s="90"/>
      <c r="N77" s="91"/>
      <c r="O77" s="83"/>
      <c r="P77" s="92"/>
      <c r="Q77" s="96"/>
    </row>
    <row r="78" spans="1:17" customFormat="1">
      <c r="A78" s="36" t="str">
        <f>IF(TRIM(G78)&lt;&gt;"",COUNTA(G$7:$G78)&amp;"","")</f>
        <v>47</v>
      </c>
      <c r="B78" s="37"/>
      <c r="C78" s="6"/>
      <c r="D78" s="38"/>
      <c r="E78" s="64" t="s">
        <v>117</v>
      </c>
      <c r="F78" s="62">
        <f>ROUNDUP(F76*16,0)</f>
        <v>16</v>
      </c>
      <c r="G78" s="65" t="s">
        <v>82</v>
      </c>
      <c r="H78" s="42">
        <v>0.05</v>
      </c>
      <c r="I78" s="76">
        <f t="shared" si="42"/>
        <v>16.8</v>
      </c>
      <c r="J78" s="82"/>
      <c r="K78" s="83"/>
      <c r="L78" s="89"/>
      <c r="M78" s="90"/>
      <c r="N78" s="91"/>
      <c r="O78" s="83"/>
      <c r="P78" s="92"/>
      <c r="Q78" s="96"/>
    </row>
    <row r="79" spans="1:17" customFormat="1">
      <c r="A79" s="36" t="str">
        <f>IF(TRIM(G79)&lt;&gt;"",COUNTA(G$7:$G79)&amp;"","")</f>
        <v>48</v>
      </c>
      <c r="B79" s="37"/>
      <c r="C79" s="6"/>
      <c r="D79" s="38"/>
      <c r="E79" s="64" t="s">
        <v>118</v>
      </c>
      <c r="F79" s="62">
        <f>F75*0.084</f>
        <v>2.0790000000000002</v>
      </c>
      <c r="G79" s="65" t="s">
        <v>119</v>
      </c>
      <c r="H79" s="42">
        <v>0.05</v>
      </c>
      <c r="I79" s="76">
        <f t="shared" si="42"/>
        <v>2.1829499999999999</v>
      </c>
      <c r="J79" s="82"/>
      <c r="K79" s="83"/>
      <c r="L79" s="89"/>
      <c r="M79" s="90"/>
      <c r="N79" s="91"/>
      <c r="O79" s="83"/>
      <c r="P79" s="92"/>
      <c r="Q79" s="96"/>
    </row>
    <row r="80" spans="1:17" customFormat="1">
      <c r="A80" s="36" t="str">
        <f>IF(TRIM(G80)&lt;&gt;"",COUNTA(G$7:$G80)&amp;"","")</f>
        <v>49</v>
      </c>
      <c r="B80" s="37"/>
      <c r="C80" s="6"/>
      <c r="D80" s="38"/>
      <c r="E80" s="61" t="s">
        <v>121</v>
      </c>
      <c r="F80" s="62">
        <f>45/1.33</f>
        <v>33.834586466165398</v>
      </c>
      <c r="G80" s="63" t="s">
        <v>82</v>
      </c>
      <c r="H80" s="42">
        <v>0.05</v>
      </c>
      <c r="I80" s="76">
        <f t="shared" si="42"/>
        <v>35.526315789473699</v>
      </c>
      <c r="J80" s="77">
        <v>1.3031634000000001</v>
      </c>
      <c r="K80" s="78">
        <f t="shared" ref="K80:K83" si="51">IF(F80=0,"",J80*I80)</f>
        <v>46.296594473684202</v>
      </c>
      <c r="L80" s="79">
        <v>93.171949999999995</v>
      </c>
      <c r="M80" s="84">
        <v>2.6312499999999999E-2</v>
      </c>
      <c r="N80" s="80">
        <f t="shared" ref="N80:N83" si="52">L80*M80</f>
        <v>2.4515869343749999</v>
      </c>
      <c r="O80" s="78">
        <f t="shared" ref="O80:O83" si="53">I80*N80</f>
        <v>87.095851615954004</v>
      </c>
      <c r="P80" s="81">
        <f t="shared" ref="P80:P83" si="54">K80+O80</f>
        <v>133.39244608963801</v>
      </c>
      <c r="Q80" s="96"/>
    </row>
    <row r="81" spans="1:17" customFormat="1">
      <c r="A81" s="36" t="str">
        <f>IF(TRIM(G81)&lt;&gt;"",COUNTA(G$7:$G81)&amp;"","")</f>
        <v>50</v>
      </c>
      <c r="B81" s="37"/>
      <c r="C81" s="6"/>
      <c r="D81" s="38"/>
      <c r="E81" s="61" t="s">
        <v>122</v>
      </c>
      <c r="F81" s="62">
        <f>F69*2</f>
        <v>31.44</v>
      </c>
      <c r="G81" s="63" t="s">
        <v>82</v>
      </c>
      <c r="H81" s="42">
        <v>0.05</v>
      </c>
      <c r="I81" s="76">
        <f t="shared" si="42"/>
        <v>33.012</v>
      </c>
      <c r="J81" s="77">
        <v>2.41875025</v>
      </c>
      <c r="K81" s="78">
        <f t="shared" si="51"/>
        <v>79.847783253000003</v>
      </c>
      <c r="L81" s="79">
        <v>93.171949999999995</v>
      </c>
      <c r="M81" s="84">
        <v>3.3680000000000002E-2</v>
      </c>
      <c r="N81" s="80">
        <f t="shared" si="52"/>
        <v>3.138031276</v>
      </c>
      <c r="O81" s="78">
        <f t="shared" si="53"/>
        <v>103.592688483312</v>
      </c>
      <c r="P81" s="81">
        <f t="shared" si="54"/>
        <v>183.44047173631199</v>
      </c>
      <c r="Q81" s="96"/>
    </row>
    <row r="82" spans="1:17" customFormat="1">
      <c r="A82" s="36" t="str">
        <f>IF(TRIM(G82)&lt;&gt;"",COUNTA(G$7:$G82)&amp;"","")</f>
        <v>51</v>
      </c>
      <c r="B82" s="37"/>
      <c r="C82" s="6"/>
      <c r="D82" s="38"/>
      <c r="E82" s="61" t="s">
        <v>123</v>
      </c>
      <c r="F82" s="62">
        <f>F69</f>
        <v>15.72</v>
      </c>
      <c r="G82" s="63" t="s">
        <v>82</v>
      </c>
      <c r="H82" s="42">
        <v>0.05</v>
      </c>
      <c r="I82" s="76">
        <f t="shared" si="42"/>
        <v>16.506</v>
      </c>
      <c r="J82" s="77">
        <v>2.41875025</v>
      </c>
      <c r="K82" s="78">
        <f t="shared" si="51"/>
        <v>39.923891626500001</v>
      </c>
      <c r="L82" s="79">
        <v>93.171949999999995</v>
      </c>
      <c r="M82" s="84">
        <v>3.3680000000000002E-2</v>
      </c>
      <c r="N82" s="80">
        <f t="shared" si="52"/>
        <v>3.138031276</v>
      </c>
      <c r="O82" s="78">
        <f t="shared" si="53"/>
        <v>51.796344241656001</v>
      </c>
      <c r="P82" s="81">
        <f t="shared" si="54"/>
        <v>91.720235868155996</v>
      </c>
      <c r="Q82" s="96"/>
    </row>
    <row r="83" spans="1:17" customFormat="1">
      <c r="A83" s="36" t="str">
        <f>IF(TRIM(G83)&lt;&gt;"",COUNTA(G$7:$G83)&amp;"","")</f>
        <v>52</v>
      </c>
      <c r="B83" s="37"/>
      <c r="C83" s="6"/>
      <c r="D83" s="38"/>
      <c r="E83" s="61" t="s">
        <v>124</v>
      </c>
      <c r="F83" s="62">
        <f>F69*4</f>
        <v>62.88</v>
      </c>
      <c r="G83" s="63" t="s">
        <v>82</v>
      </c>
      <c r="H83" s="42">
        <v>0.05</v>
      </c>
      <c r="I83" s="76">
        <f t="shared" si="42"/>
        <v>66.024000000000001</v>
      </c>
      <c r="J83" s="77">
        <v>0.60970000000000002</v>
      </c>
      <c r="K83" s="78">
        <f t="shared" si="51"/>
        <v>40.254832800000003</v>
      </c>
      <c r="L83" s="79">
        <v>93.171949999999995</v>
      </c>
      <c r="M83" s="84">
        <v>3.2000000000000001E-2</v>
      </c>
      <c r="N83" s="80">
        <f t="shared" si="52"/>
        <v>2.9815024000000001</v>
      </c>
      <c r="O83" s="78">
        <f t="shared" si="53"/>
        <v>196.85071445759999</v>
      </c>
      <c r="P83" s="81">
        <f t="shared" si="54"/>
        <v>237.10554725759999</v>
      </c>
      <c r="Q83" s="96"/>
    </row>
    <row r="84" spans="1:17" customFormat="1">
      <c r="A84" s="36" t="str">
        <f>IF(TRIM(G84)&lt;&gt;"",COUNTA(G$7:$G84)&amp;"","")</f>
        <v/>
      </c>
      <c r="B84" s="37"/>
      <c r="C84" s="6"/>
      <c r="D84" s="38"/>
      <c r="E84" s="98"/>
      <c r="F84" s="57"/>
      <c r="G84" s="54"/>
      <c r="H84" s="42"/>
      <c r="I84" s="76"/>
      <c r="J84" s="77"/>
      <c r="K84" s="78"/>
      <c r="L84" s="79"/>
      <c r="M84" s="84"/>
      <c r="N84" s="80"/>
      <c r="O84" s="78"/>
      <c r="P84" s="81"/>
      <c r="Q84" s="96"/>
    </row>
    <row r="85" spans="1:17" customFormat="1">
      <c r="A85" s="36" t="str">
        <f>IF(TRIM(G85)&lt;&gt;"",COUNTA(G$7:$G85)&amp;"","")</f>
        <v>53</v>
      </c>
      <c r="B85" s="37"/>
      <c r="C85" s="6"/>
      <c r="D85" s="38"/>
      <c r="E85" s="58" t="s">
        <v>126</v>
      </c>
      <c r="F85" s="59">
        <v>8.67</v>
      </c>
      <c r="G85" s="60" t="s">
        <v>82</v>
      </c>
      <c r="H85" s="42"/>
      <c r="I85" s="76"/>
      <c r="J85" s="77"/>
      <c r="K85" s="78"/>
      <c r="L85" s="79"/>
      <c r="M85" s="84"/>
      <c r="N85" s="80"/>
      <c r="O85" s="78"/>
      <c r="P85" s="81"/>
      <c r="Q85" s="96"/>
    </row>
    <row r="86" spans="1:17" customFormat="1">
      <c r="A86" s="36" t="str">
        <f>IF(TRIM(G86)&lt;&gt;"",COUNTA(G$7:$G86)&amp;"","")</f>
        <v>54</v>
      </c>
      <c r="B86" s="37"/>
      <c r="C86" s="6"/>
      <c r="D86" s="38"/>
      <c r="E86" s="61" t="s">
        <v>114</v>
      </c>
      <c r="F86" s="62">
        <v>40.950000000000003</v>
      </c>
      <c r="G86" s="63" t="s">
        <v>75</v>
      </c>
      <c r="H86" s="42">
        <v>0.1</v>
      </c>
      <c r="I86" s="76">
        <f t="shared" ref="I86:I99" si="55">IF(F86=0,"",F86+(F86*H86))</f>
        <v>45.045000000000002</v>
      </c>
      <c r="J86" s="77">
        <v>0.9849</v>
      </c>
      <c r="K86" s="78">
        <f t="shared" ref="K86" si="56">IF(F86=0,"",J86*I86)</f>
        <v>44.3648205</v>
      </c>
      <c r="L86" s="79">
        <v>93.171949999999995</v>
      </c>
      <c r="M86" s="84">
        <v>3.6999999999999998E-2</v>
      </c>
      <c r="N86" s="80">
        <f t="shared" ref="N86" si="57">L86*M86</f>
        <v>3.44736215</v>
      </c>
      <c r="O86" s="78">
        <f t="shared" ref="O86" si="58">I86*N86</f>
        <v>155.28642804674999</v>
      </c>
      <c r="P86" s="81">
        <f t="shared" ref="P86" si="59">K86+O86</f>
        <v>199.65124854675</v>
      </c>
      <c r="Q86" s="96"/>
    </row>
    <row r="87" spans="1:17" customFormat="1">
      <c r="A87" s="36" t="str">
        <f>IF(TRIM(G87)&lt;&gt;"",COUNTA(G$7:$G87)&amp;"","")</f>
        <v>55</v>
      </c>
      <c r="B87" s="37"/>
      <c r="C87" s="6"/>
      <c r="D87" s="38"/>
      <c r="E87" s="64" t="s">
        <v>115</v>
      </c>
      <c r="F87" s="62">
        <f>+ROUNDUP(F86/32,0)</f>
        <v>2</v>
      </c>
      <c r="G87" s="65" t="s">
        <v>85</v>
      </c>
      <c r="H87" s="42">
        <v>0</v>
      </c>
      <c r="I87" s="76">
        <f t="shared" si="55"/>
        <v>2</v>
      </c>
      <c r="J87" s="82"/>
      <c r="K87" s="83"/>
      <c r="L87" s="89"/>
      <c r="M87" s="90"/>
      <c r="N87" s="91"/>
      <c r="O87" s="83"/>
      <c r="P87" s="92"/>
      <c r="Q87" s="96"/>
    </row>
    <row r="88" spans="1:17" customFormat="1">
      <c r="A88" s="36" t="str">
        <f>IF(TRIM(G88)&lt;&gt;"",COUNTA(G$7:$G88)&amp;"","")</f>
        <v>56</v>
      </c>
      <c r="B88" s="37"/>
      <c r="C88" s="6"/>
      <c r="D88" s="38"/>
      <c r="E88" s="64" t="s">
        <v>116</v>
      </c>
      <c r="F88" s="62">
        <f>ROUNDUP(F86*1.33,0)</f>
        <v>55</v>
      </c>
      <c r="G88" s="65" t="s">
        <v>85</v>
      </c>
      <c r="H88" s="42">
        <v>0</v>
      </c>
      <c r="I88" s="76">
        <f t="shared" si="55"/>
        <v>55</v>
      </c>
      <c r="J88" s="82"/>
      <c r="K88" s="83"/>
      <c r="L88" s="89"/>
      <c r="M88" s="90"/>
      <c r="N88" s="91"/>
      <c r="O88" s="83"/>
      <c r="P88" s="92"/>
      <c r="Q88" s="96"/>
    </row>
    <row r="89" spans="1:17" customFormat="1">
      <c r="A89" s="36" t="str">
        <f>IF(TRIM(G89)&lt;&gt;"",COUNTA(G$7:$G89)&amp;"","")</f>
        <v>57</v>
      </c>
      <c r="B89" s="37"/>
      <c r="C89" s="6"/>
      <c r="D89" s="38"/>
      <c r="E89" s="64" t="s">
        <v>117</v>
      </c>
      <c r="F89" s="62">
        <f>ROUNDUP(F87*16,0)</f>
        <v>32</v>
      </c>
      <c r="G89" s="65" t="s">
        <v>82</v>
      </c>
      <c r="H89" s="42">
        <v>0.05</v>
      </c>
      <c r="I89" s="76">
        <f t="shared" si="55"/>
        <v>33.6</v>
      </c>
      <c r="J89" s="82"/>
      <c r="K89" s="83"/>
      <c r="L89" s="89"/>
      <c r="M89" s="90"/>
      <c r="N89" s="91"/>
      <c r="O89" s="83"/>
      <c r="P89" s="92"/>
      <c r="Q89" s="96"/>
    </row>
    <row r="90" spans="1:17" customFormat="1">
      <c r="A90" s="36" t="str">
        <f>IF(TRIM(G90)&lt;&gt;"",COUNTA(G$7:$G90)&amp;"","")</f>
        <v>58</v>
      </c>
      <c r="B90" s="37"/>
      <c r="C90" s="6"/>
      <c r="D90" s="38"/>
      <c r="E90" s="64" t="s">
        <v>118</v>
      </c>
      <c r="F90" s="62">
        <f>F86*0.084</f>
        <v>3.4398</v>
      </c>
      <c r="G90" s="65" t="s">
        <v>119</v>
      </c>
      <c r="H90" s="42">
        <v>0.05</v>
      </c>
      <c r="I90" s="76">
        <f t="shared" si="55"/>
        <v>3.6117900000000001</v>
      </c>
      <c r="J90" s="82"/>
      <c r="K90" s="83"/>
      <c r="L90" s="89"/>
      <c r="M90" s="90"/>
      <c r="N90" s="91"/>
      <c r="O90" s="83"/>
      <c r="P90" s="92"/>
      <c r="Q90" s="96"/>
    </row>
    <row r="91" spans="1:17" customFormat="1">
      <c r="A91" s="36" t="str">
        <f>IF(TRIM(G91)&lt;&gt;"",COUNTA(G$7:$G91)&amp;"","")</f>
        <v>59</v>
      </c>
      <c r="B91" s="37"/>
      <c r="C91" s="6"/>
      <c r="D91" s="38"/>
      <c r="E91" s="61" t="s">
        <v>120</v>
      </c>
      <c r="F91" s="62">
        <v>50.05</v>
      </c>
      <c r="G91" s="63" t="s">
        <v>75</v>
      </c>
      <c r="H91" s="42">
        <v>0.1</v>
      </c>
      <c r="I91" s="76">
        <f t="shared" si="55"/>
        <v>55.055</v>
      </c>
      <c r="J91" s="77">
        <v>1.04118</v>
      </c>
      <c r="K91" s="78">
        <f t="shared" ref="K91" si="60">IF(F91=0,"",J91*I91)</f>
        <v>57.322164899999997</v>
      </c>
      <c r="L91" s="79">
        <v>93.171949999999995</v>
      </c>
      <c r="M91" s="84">
        <v>3.6999999999999998E-2</v>
      </c>
      <c r="N91" s="80">
        <f t="shared" ref="N91" si="61">L91*M91</f>
        <v>3.44736215</v>
      </c>
      <c r="O91" s="78">
        <f t="shared" ref="O91" si="62">I91*N91</f>
        <v>189.79452316825001</v>
      </c>
      <c r="P91" s="81">
        <f t="shared" ref="P91" si="63">K91+O91</f>
        <v>247.11668806825</v>
      </c>
      <c r="Q91" s="96"/>
    </row>
    <row r="92" spans="1:17" customFormat="1">
      <c r="A92" s="36" t="str">
        <f>IF(TRIM(G92)&lt;&gt;"",COUNTA(G$7:$G92)&amp;"","")</f>
        <v>60</v>
      </c>
      <c r="B92" s="37"/>
      <c r="C92" s="6"/>
      <c r="D92" s="38"/>
      <c r="E92" s="64" t="s">
        <v>115</v>
      </c>
      <c r="F92" s="62">
        <f>+ROUNDUP(F91/32,0)</f>
        <v>2</v>
      </c>
      <c r="G92" s="65" t="s">
        <v>85</v>
      </c>
      <c r="H92" s="42">
        <v>0</v>
      </c>
      <c r="I92" s="76">
        <f t="shared" si="55"/>
        <v>2</v>
      </c>
      <c r="J92" s="82"/>
      <c r="K92" s="83"/>
      <c r="L92" s="89"/>
      <c r="M92" s="90"/>
      <c r="N92" s="91"/>
      <c r="O92" s="83"/>
      <c r="P92" s="92"/>
      <c r="Q92" s="96"/>
    </row>
    <row r="93" spans="1:17" customFormat="1">
      <c r="A93" s="36" t="str">
        <f>IF(TRIM(G93)&lt;&gt;"",COUNTA(G$7:$G93)&amp;"","")</f>
        <v>61</v>
      </c>
      <c r="B93" s="37"/>
      <c r="C93" s="6"/>
      <c r="D93" s="38"/>
      <c r="E93" s="64" t="s">
        <v>116</v>
      </c>
      <c r="F93" s="62">
        <f>ROUNDUP(F91*1.33,0)</f>
        <v>67</v>
      </c>
      <c r="G93" s="65" t="s">
        <v>85</v>
      </c>
      <c r="H93" s="42">
        <v>0</v>
      </c>
      <c r="I93" s="76">
        <f t="shared" si="55"/>
        <v>67</v>
      </c>
      <c r="J93" s="82"/>
      <c r="K93" s="83"/>
      <c r="L93" s="89"/>
      <c r="M93" s="90"/>
      <c r="N93" s="91"/>
      <c r="O93" s="83"/>
      <c r="P93" s="92"/>
      <c r="Q93" s="96"/>
    </row>
    <row r="94" spans="1:17" customFormat="1">
      <c r="A94" s="36" t="str">
        <f>IF(TRIM(G94)&lt;&gt;"",COUNTA(G$7:$G94)&amp;"","")</f>
        <v>62</v>
      </c>
      <c r="B94" s="37"/>
      <c r="C94" s="6"/>
      <c r="D94" s="38"/>
      <c r="E94" s="64" t="s">
        <v>117</v>
      </c>
      <c r="F94" s="62">
        <f>ROUNDUP(F92*16,0)</f>
        <v>32</v>
      </c>
      <c r="G94" s="65" t="s">
        <v>82</v>
      </c>
      <c r="H94" s="42">
        <v>0.05</v>
      </c>
      <c r="I94" s="76">
        <f t="shared" si="55"/>
        <v>33.6</v>
      </c>
      <c r="J94" s="82"/>
      <c r="K94" s="83"/>
      <c r="L94" s="89"/>
      <c r="M94" s="90"/>
      <c r="N94" s="91"/>
      <c r="O94" s="83"/>
      <c r="P94" s="92"/>
      <c r="Q94" s="96"/>
    </row>
    <row r="95" spans="1:17" customFormat="1">
      <c r="A95" s="36" t="str">
        <f>IF(TRIM(G95)&lt;&gt;"",COUNTA(G$7:$G95)&amp;"","")</f>
        <v>63</v>
      </c>
      <c r="B95" s="37"/>
      <c r="C95" s="6"/>
      <c r="D95" s="38"/>
      <c r="E95" s="64" t="s">
        <v>118</v>
      </c>
      <c r="F95" s="62">
        <f>F91*0.084</f>
        <v>4.2042000000000002</v>
      </c>
      <c r="G95" s="65" t="s">
        <v>119</v>
      </c>
      <c r="H95" s="42">
        <v>0.05</v>
      </c>
      <c r="I95" s="76">
        <f t="shared" si="55"/>
        <v>4.4144100000000002</v>
      </c>
      <c r="J95" s="82"/>
      <c r="K95" s="83"/>
      <c r="L95" s="89"/>
      <c r="M95" s="90"/>
      <c r="N95" s="91"/>
      <c r="O95" s="83"/>
      <c r="P95" s="92"/>
      <c r="Q95" s="96"/>
    </row>
    <row r="96" spans="1:17" customFormat="1">
      <c r="A96" s="36" t="str">
        <f>IF(TRIM(G96)&lt;&gt;"",COUNTA(G$7:$G96)&amp;"","")</f>
        <v>64</v>
      </c>
      <c r="B96" s="37"/>
      <c r="C96" s="6"/>
      <c r="D96" s="38"/>
      <c r="E96" s="61" t="s">
        <v>121</v>
      </c>
      <c r="F96" s="62">
        <f>91/1.33</f>
        <v>68.421052631578902</v>
      </c>
      <c r="G96" s="63" t="s">
        <v>82</v>
      </c>
      <c r="H96" s="42">
        <v>0.05</v>
      </c>
      <c r="I96" s="76">
        <f t="shared" si="55"/>
        <v>71.842105263157904</v>
      </c>
      <c r="J96" s="77">
        <v>1.3031634000000001</v>
      </c>
      <c r="K96" s="78">
        <f t="shared" ref="K96:K99" si="64">IF(F96=0,"",J96*I96)</f>
        <v>93.622002157894698</v>
      </c>
      <c r="L96" s="79">
        <v>93.171949999999995</v>
      </c>
      <c r="M96" s="84">
        <v>2.6312499999999999E-2</v>
      </c>
      <c r="N96" s="80">
        <f t="shared" ref="N96:N99" si="65">L96*M96</f>
        <v>2.4515869343749999</v>
      </c>
      <c r="O96" s="78">
        <f t="shared" ref="O96:O99" si="66">I96*N96</f>
        <v>176.127166601151</v>
      </c>
      <c r="P96" s="81">
        <f t="shared" ref="P96:P99" si="67">K96+O96</f>
        <v>269.74916875904597</v>
      </c>
      <c r="Q96" s="96"/>
    </row>
    <row r="97" spans="1:17" customFormat="1">
      <c r="A97" s="36" t="str">
        <f>IF(TRIM(G97)&lt;&gt;"",COUNTA(G$7:$G97)&amp;"","")</f>
        <v>65</v>
      </c>
      <c r="B97" s="37"/>
      <c r="C97" s="6"/>
      <c r="D97" s="38"/>
      <c r="E97" s="61" t="s">
        <v>122</v>
      </c>
      <c r="F97" s="62">
        <f>F85*2</f>
        <v>17.34</v>
      </c>
      <c r="G97" s="63" t="s">
        <v>82</v>
      </c>
      <c r="H97" s="42">
        <v>0.05</v>
      </c>
      <c r="I97" s="76">
        <f t="shared" si="55"/>
        <v>18.207000000000001</v>
      </c>
      <c r="J97" s="77">
        <v>2.41875025</v>
      </c>
      <c r="K97" s="78">
        <f t="shared" si="64"/>
        <v>44.038185801749997</v>
      </c>
      <c r="L97" s="79">
        <v>93.171949999999995</v>
      </c>
      <c r="M97" s="84">
        <v>3.3680000000000002E-2</v>
      </c>
      <c r="N97" s="80">
        <f t="shared" si="65"/>
        <v>3.138031276</v>
      </c>
      <c r="O97" s="78">
        <f t="shared" si="66"/>
        <v>57.134135442131999</v>
      </c>
      <c r="P97" s="81">
        <f t="shared" si="67"/>
        <v>101.172321243882</v>
      </c>
      <c r="Q97" s="96"/>
    </row>
    <row r="98" spans="1:17" customFormat="1">
      <c r="A98" s="36" t="str">
        <f>IF(TRIM(G98)&lt;&gt;"",COUNTA(G$7:$G98)&amp;"","")</f>
        <v>66</v>
      </c>
      <c r="B98" s="37"/>
      <c r="C98" s="6"/>
      <c r="D98" s="38"/>
      <c r="E98" s="61" t="s">
        <v>123</v>
      </c>
      <c r="F98" s="62">
        <f>F85</f>
        <v>8.67</v>
      </c>
      <c r="G98" s="63" t="s">
        <v>82</v>
      </c>
      <c r="H98" s="42">
        <v>0.05</v>
      </c>
      <c r="I98" s="76">
        <f t="shared" si="55"/>
        <v>9.1035000000000004</v>
      </c>
      <c r="J98" s="77">
        <v>2.41875025</v>
      </c>
      <c r="K98" s="78">
        <f t="shared" si="64"/>
        <v>22.019092900874998</v>
      </c>
      <c r="L98" s="79">
        <v>93.171949999999995</v>
      </c>
      <c r="M98" s="84">
        <v>3.3680000000000002E-2</v>
      </c>
      <c r="N98" s="80">
        <f t="shared" si="65"/>
        <v>3.138031276</v>
      </c>
      <c r="O98" s="78">
        <f t="shared" si="66"/>
        <v>28.567067721066</v>
      </c>
      <c r="P98" s="81">
        <f t="shared" si="67"/>
        <v>50.586160621940998</v>
      </c>
      <c r="Q98" s="96"/>
    </row>
    <row r="99" spans="1:17" customFormat="1">
      <c r="A99" s="36" t="str">
        <f>IF(TRIM(G99)&lt;&gt;"",COUNTA(G$7:$G99)&amp;"","")</f>
        <v>67</v>
      </c>
      <c r="B99" s="37"/>
      <c r="C99" s="6"/>
      <c r="D99" s="38"/>
      <c r="E99" s="61" t="s">
        <v>124</v>
      </c>
      <c r="F99" s="62">
        <f>F85*4</f>
        <v>34.68</v>
      </c>
      <c r="G99" s="63" t="s">
        <v>82</v>
      </c>
      <c r="H99" s="42">
        <v>0.05</v>
      </c>
      <c r="I99" s="76">
        <f t="shared" si="55"/>
        <v>36.414000000000001</v>
      </c>
      <c r="J99" s="77">
        <v>0.60970000000000002</v>
      </c>
      <c r="K99" s="78">
        <f t="shared" si="64"/>
        <v>22.201615799999999</v>
      </c>
      <c r="L99" s="79">
        <v>93.171949999999995</v>
      </c>
      <c r="M99" s="84">
        <v>3.2000000000000001E-2</v>
      </c>
      <c r="N99" s="80">
        <f t="shared" si="65"/>
        <v>2.9815024000000001</v>
      </c>
      <c r="O99" s="78">
        <f t="shared" si="66"/>
        <v>108.5684283936</v>
      </c>
      <c r="P99" s="81">
        <f t="shared" si="67"/>
        <v>130.7700441936</v>
      </c>
      <c r="Q99" s="96"/>
    </row>
    <row r="100" spans="1:17" customFormat="1">
      <c r="A100" s="36" t="str">
        <f>IF(TRIM(G100)&lt;&gt;"",COUNTA(G$7:$G100)&amp;"","")</f>
        <v/>
      </c>
      <c r="B100" s="37"/>
      <c r="C100" s="6"/>
      <c r="D100" s="38"/>
      <c r="E100" s="98"/>
      <c r="F100" s="57"/>
      <c r="G100" s="54"/>
      <c r="H100" s="42"/>
      <c r="I100" s="76"/>
      <c r="J100" s="77"/>
      <c r="K100" s="78"/>
      <c r="L100" s="79"/>
      <c r="M100" s="84"/>
      <c r="N100" s="80"/>
      <c r="O100" s="78"/>
      <c r="P100" s="81"/>
      <c r="Q100" s="96"/>
    </row>
    <row r="101" spans="1:17" customFormat="1">
      <c r="A101" s="36" t="str">
        <f>IF(TRIM(G101)&lt;&gt;"",COUNTA(G$7:$G101)&amp;"","")</f>
        <v>68</v>
      </c>
      <c r="B101" s="37"/>
      <c r="C101" s="6"/>
      <c r="D101" s="38"/>
      <c r="E101" s="58" t="s">
        <v>127</v>
      </c>
      <c r="F101" s="59">
        <v>14.64</v>
      </c>
      <c r="G101" s="60" t="s">
        <v>82</v>
      </c>
      <c r="H101" s="42"/>
      <c r="I101" s="76"/>
      <c r="J101" s="77"/>
      <c r="K101" s="78"/>
      <c r="L101" s="79"/>
      <c r="M101" s="84"/>
      <c r="N101" s="80"/>
      <c r="O101" s="78"/>
      <c r="P101" s="81"/>
      <c r="Q101" s="96"/>
    </row>
    <row r="102" spans="1:17" customFormat="1">
      <c r="A102" s="36" t="str">
        <f>IF(TRIM(G102)&lt;&gt;"",COUNTA(G$7:$G102)&amp;"","")</f>
        <v>69</v>
      </c>
      <c r="B102" s="37"/>
      <c r="C102" s="6"/>
      <c r="D102" s="38"/>
      <c r="E102" s="61" t="s">
        <v>114</v>
      </c>
      <c r="F102" s="62">
        <v>132</v>
      </c>
      <c r="G102" s="63" t="s">
        <v>75</v>
      </c>
      <c r="H102" s="42">
        <v>0.1</v>
      </c>
      <c r="I102" s="76">
        <f t="shared" ref="I102:I112" si="68">IF(F102=0,"",F102+(F102*H102))</f>
        <v>145.19999999999999</v>
      </c>
      <c r="J102" s="77">
        <v>0.9849</v>
      </c>
      <c r="K102" s="78">
        <f t="shared" ref="K102" si="69">IF(F102=0,"",J102*I102)</f>
        <v>143.00747999999999</v>
      </c>
      <c r="L102" s="79">
        <v>93.171949999999995</v>
      </c>
      <c r="M102" s="84">
        <v>3.6999999999999998E-2</v>
      </c>
      <c r="N102" s="80">
        <f t="shared" ref="N102" si="70">L102*M102</f>
        <v>3.44736215</v>
      </c>
      <c r="O102" s="78">
        <f t="shared" ref="O102" si="71">I102*N102</f>
        <v>500.55698417999997</v>
      </c>
      <c r="P102" s="81">
        <f t="shared" ref="P102" si="72">K102+O102</f>
        <v>643.56446417999996</v>
      </c>
      <c r="Q102" s="96"/>
    </row>
    <row r="103" spans="1:17" customFormat="1">
      <c r="A103" s="36" t="str">
        <f>IF(TRIM(G103)&lt;&gt;"",COUNTA(G$7:$G103)&amp;"","")</f>
        <v>70</v>
      </c>
      <c r="B103" s="37"/>
      <c r="C103" s="6"/>
      <c r="D103" s="38"/>
      <c r="E103" s="64" t="s">
        <v>115</v>
      </c>
      <c r="F103" s="62">
        <f>+ROUNDUP(F102/32,0)</f>
        <v>5</v>
      </c>
      <c r="G103" s="65" t="s">
        <v>85</v>
      </c>
      <c r="H103" s="42">
        <v>0</v>
      </c>
      <c r="I103" s="76">
        <f t="shared" si="68"/>
        <v>5</v>
      </c>
      <c r="J103" s="82"/>
      <c r="K103" s="83"/>
      <c r="L103" s="89"/>
      <c r="M103" s="90"/>
      <c r="N103" s="91"/>
      <c r="O103" s="83"/>
      <c r="P103" s="92"/>
      <c r="Q103" s="96"/>
    </row>
    <row r="104" spans="1:17" customFormat="1">
      <c r="A104" s="36" t="str">
        <f>IF(TRIM(G104)&lt;&gt;"",COUNTA(G$7:$G104)&amp;"","")</f>
        <v>71</v>
      </c>
      <c r="B104" s="37"/>
      <c r="C104" s="6"/>
      <c r="D104" s="38"/>
      <c r="E104" s="64" t="s">
        <v>116</v>
      </c>
      <c r="F104" s="62">
        <f>ROUNDUP(F102*1.33,0)</f>
        <v>176</v>
      </c>
      <c r="G104" s="65" t="s">
        <v>85</v>
      </c>
      <c r="H104" s="42">
        <v>0</v>
      </c>
      <c r="I104" s="76">
        <f t="shared" si="68"/>
        <v>176</v>
      </c>
      <c r="J104" s="82"/>
      <c r="K104" s="83"/>
      <c r="L104" s="89"/>
      <c r="M104" s="90"/>
      <c r="N104" s="91"/>
      <c r="O104" s="83"/>
      <c r="P104" s="92"/>
      <c r="Q104" s="96"/>
    </row>
    <row r="105" spans="1:17" customFormat="1">
      <c r="A105" s="36" t="str">
        <f>IF(TRIM(G105)&lt;&gt;"",COUNTA(G$7:$G105)&amp;"","")</f>
        <v>72</v>
      </c>
      <c r="B105" s="37"/>
      <c r="C105" s="6"/>
      <c r="D105" s="38"/>
      <c r="E105" s="64" t="s">
        <v>117</v>
      </c>
      <c r="F105" s="62">
        <f>ROUNDUP(F103*16,0)</f>
        <v>80</v>
      </c>
      <c r="G105" s="65" t="s">
        <v>82</v>
      </c>
      <c r="H105" s="42">
        <v>0.05</v>
      </c>
      <c r="I105" s="76">
        <f t="shared" si="68"/>
        <v>84</v>
      </c>
      <c r="J105" s="82"/>
      <c r="K105" s="83"/>
      <c r="L105" s="89"/>
      <c r="M105" s="90"/>
      <c r="N105" s="91"/>
      <c r="O105" s="83"/>
      <c r="P105" s="92"/>
      <c r="Q105" s="96"/>
    </row>
    <row r="106" spans="1:17" customFormat="1">
      <c r="A106" s="36" t="str">
        <f>IF(TRIM(G106)&lt;&gt;"",COUNTA(G$7:$G106)&amp;"","")</f>
        <v>73</v>
      </c>
      <c r="B106" s="37"/>
      <c r="C106" s="6"/>
      <c r="D106" s="38"/>
      <c r="E106" s="64" t="s">
        <v>118</v>
      </c>
      <c r="F106" s="62">
        <f>F102*0.084</f>
        <v>11.087999999999999</v>
      </c>
      <c r="G106" s="65" t="s">
        <v>119</v>
      </c>
      <c r="H106" s="42">
        <v>0.05</v>
      </c>
      <c r="I106" s="76">
        <f t="shared" si="68"/>
        <v>11.6424</v>
      </c>
      <c r="J106" s="82"/>
      <c r="K106" s="83"/>
      <c r="L106" s="89"/>
      <c r="M106" s="90"/>
      <c r="N106" s="91"/>
      <c r="O106" s="83"/>
      <c r="P106" s="92"/>
      <c r="Q106" s="96"/>
    </row>
    <row r="107" spans="1:17" customFormat="1">
      <c r="A107" s="36" t="str">
        <f>IF(TRIM(G107)&lt;&gt;"",COUNTA(G$7:$G107)&amp;"","")</f>
        <v>74</v>
      </c>
      <c r="B107" s="37"/>
      <c r="C107" s="6"/>
      <c r="D107" s="38"/>
      <c r="E107" s="61" t="s">
        <v>120</v>
      </c>
      <c r="F107" s="62">
        <v>22</v>
      </c>
      <c r="G107" s="63" t="s">
        <v>75</v>
      </c>
      <c r="H107" s="42">
        <v>0.1</v>
      </c>
      <c r="I107" s="76">
        <f t="shared" si="68"/>
        <v>24.2</v>
      </c>
      <c r="J107" s="77">
        <v>1.04118</v>
      </c>
      <c r="K107" s="78">
        <f t="shared" ref="K107" si="73">IF(F107=0,"",J107*I107)</f>
        <v>25.196556000000001</v>
      </c>
      <c r="L107" s="79">
        <v>93.171949999999995</v>
      </c>
      <c r="M107" s="84">
        <v>3.6999999999999998E-2</v>
      </c>
      <c r="N107" s="80">
        <f t="shared" ref="N107" si="74">L107*M107</f>
        <v>3.44736215</v>
      </c>
      <c r="O107" s="78">
        <f t="shared" ref="O107" si="75">I107*N107</f>
        <v>83.426164029999995</v>
      </c>
      <c r="P107" s="81">
        <f t="shared" ref="P107" si="76">K107+O107</f>
        <v>108.62272003</v>
      </c>
      <c r="Q107" s="96"/>
    </row>
    <row r="108" spans="1:17" customFormat="1">
      <c r="A108" s="36" t="str">
        <f>IF(TRIM(G108)&lt;&gt;"",COUNTA(G$7:$G108)&amp;"","")</f>
        <v>75</v>
      </c>
      <c r="B108" s="37"/>
      <c r="C108" s="6"/>
      <c r="D108" s="38"/>
      <c r="E108" s="64" t="s">
        <v>115</v>
      </c>
      <c r="F108" s="62">
        <f>+ROUNDUP(F107/32,0)</f>
        <v>1</v>
      </c>
      <c r="G108" s="65" t="s">
        <v>85</v>
      </c>
      <c r="H108" s="42">
        <v>0</v>
      </c>
      <c r="I108" s="76">
        <f t="shared" si="68"/>
        <v>1</v>
      </c>
      <c r="J108" s="82"/>
      <c r="K108" s="83"/>
      <c r="L108" s="89"/>
      <c r="M108" s="90"/>
      <c r="N108" s="91"/>
      <c r="O108" s="83"/>
      <c r="P108" s="92"/>
      <c r="Q108" s="96"/>
    </row>
    <row r="109" spans="1:17" customFormat="1">
      <c r="A109" s="36" t="str">
        <f>IF(TRIM(G109)&lt;&gt;"",COUNTA(G$7:$G109)&amp;"","")</f>
        <v>76</v>
      </c>
      <c r="B109" s="37"/>
      <c r="C109" s="6"/>
      <c r="D109" s="38"/>
      <c r="E109" s="64" t="s">
        <v>116</v>
      </c>
      <c r="F109" s="62">
        <f>ROUNDUP(F107*1.33,0)</f>
        <v>30</v>
      </c>
      <c r="G109" s="65" t="s">
        <v>85</v>
      </c>
      <c r="H109" s="42">
        <v>0</v>
      </c>
      <c r="I109" s="76">
        <f t="shared" si="68"/>
        <v>30</v>
      </c>
      <c r="J109" s="82"/>
      <c r="K109" s="83"/>
      <c r="L109" s="89"/>
      <c r="M109" s="90"/>
      <c r="N109" s="91"/>
      <c r="O109" s="83"/>
      <c r="P109" s="92"/>
      <c r="Q109" s="96"/>
    </row>
    <row r="110" spans="1:17" customFormat="1">
      <c r="A110" s="36" t="str">
        <f>IF(TRIM(G110)&lt;&gt;"",COUNTA(G$7:$G110)&amp;"","")</f>
        <v>77</v>
      </c>
      <c r="B110" s="37"/>
      <c r="C110" s="6"/>
      <c r="D110" s="38"/>
      <c r="E110" s="64" t="s">
        <v>117</v>
      </c>
      <c r="F110" s="62">
        <f>ROUNDUP(F108*16,0)</f>
        <v>16</v>
      </c>
      <c r="G110" s="65" t="s">
        <v>82</v>
      </c>
      <c r="H110" s="42">
        <v>0.05</v>
      </c>
      <c r="I110" s="76">
        <f t="shared" si="68"/>
        <v>16.8</v>
      </c>
      <c r="J110" s="82"/>
      <c r="K110" s="83"/>
      <c r="L110" s="89"/>
      <c r="M110" s="90"/>
      <c r="N110" s="91"/>
      <c r="O110" s="83"/>
      <c r="P110" s="92"/>
      <c r="Q110" s="96"/>
    </row>
    <row r="111" spans="1:17" customFormat="1">
      <c r="A111" s="36" t="str">
        <f>IF(TRIM(G111)&lt;&gt;"",COUNTA(G$7:$G111)&amp;"","")</f>
        <v>78</v>
      </c>
      <c r="B111" s="37"/>
      <c r="C111" s="6"/>
      <c r="D111" s="38"/>
      <c r="E111" s="64" t="s">
        <v>118</v>
      </c>
      <c r="F111" s="62">
        <f>F107*0.084</f>
        <v>1.8480000000000001</v>
      </c>
      <c r="G111" s="65" t="s">
        <v>119</v>
      </c>
      <c r="H111" s="42">
        <v>0.05</v>
      </c>
      <c r="I111" s="76">
        <f t="shared" si="68"/>
        <v>1.9403999999999999</v>
      </c>
      <c r="J111" s="82"/>
      <c r="K111" s="83"/>
      <c r="L111" s="89"/>
      <c r="M111" s="90"/>
      <c r="N111" s="91"/>
      <c r="O111" s="83"/>
      <c r="P111" s="92"/>
      <c r="Q111" s="96"/>
    </row>
    <row r="112" spans="1:17" customFormat="1">
      <c r="A112" s="36" t="str">
        <f>IF(TRIM(G112)&lt;&gt;"",COUNTA(G$7:$G112)&amp;"","")</f>
        <v>79</v>
      </c>
      <c r="B112" s="37"/>
      <c r="C112" s="6"/>
      <c r="D112" s="38"/>
      <c r="E112" s="61" t="s">
        <v>124</v>
      </c>
      <c r="F112" s="62">
        <f>F101*2</f>
        <v>29.28</v>
      </c>
      <c r="G112" s="63" t="s">
        <v>82</v>
      </c>
      <c r="H112" s="42">
        <v>0.05</v>
      </c>
      <c r="I112" s="76">
        <f t="shared" si="68"/>
        <v>30.744</v>
      </c>
      <c r="J112" s="77">
        <v>0.60970000000000002</v>
      </c>
      <c r="K112" s="78">
        <f t="shared" ref="K112" si="77">IF(F112=0,"",J112*I112)</f>
        <v>18.744616799999999</v>
      </c>
      <c r="L112" s="79">
        <v>93.171949999999995</v>
      </c>
      <c r="M112" s="84">
        <v>3.2000000000000001E-2</v>
      </c>
      <c r="N112" s="80">
        <f t="shared" ref="N112" si="78">L112*M112</f>
        <v>2.9815024000000001</v>
      </c>
      <c r="O112" s="78">
        <f t="shared" ref="O112" si="79">I112*N112</f>
        <v>91.663309785600006</v>
      </c>
      <c r="P112" s="81">
        <f t="shared" ref="P112" si="80">K112+O112</f>
        <v>110.40792658559999</v>
      </c>
      <c r="Q112" s="96"/>
    </row>
    <row r="113" spans="1:17" customFormat="1">
      <c r="A113" s="36" t="str">
        <f>IF(TRIM(G113)&lt;&gt;"",COUNTA(G$7:$G113)&amp;"","")</f>
        <v/>
      </c>
      <c r="B113" s="37"/>
      <c r="C113" s="6"/>
      <c r="D113" s="38"/>
      <c r="E113" s="98"/>
      <c r="F113" s="57"/>
      <c r="G113" s="54"/>
      <c r="H113" s="42"/>
      <c r="I113" s="76"/>
      <c r="J113" s="77"/>
      <c r="K113" s="78"/>
      <c r="L113" s="79"/>
      <c r="M113" s="84"/>
      <c r="N113" s="80"/>
      <c r="O113" s="78"/>
      <c r="P113" s="81"/>
      <c r="Q113" s="96"/>
    </row>
    <row r="114" spans="1:17" customFormat="1">
      <c r="A114" s="36" t="str">
        <f>IF(TRIM(G114)&lt;&gt;"",COUNTA(G$7:$G114)&amp;"","")</f>
        <v/>
      </c>
      <c r="B114" s="37"/>
      <c r="C114" s="6"/>
      <c r="D114" s="38"/>
      <c r="E114" s="39" t="s">
        <v>128</v>
      </c>
      <c r="F114" s="40"/>
      <c r="G114" s="44"/>
      <c r="H114" s="42"/>
      <c r="I114" s="76"/>
      <c r="J114" s="77"/>
      <c r="K114" s="78"/>
      <c r="L114" s="79"/>
      <c r="M114" s="84"/>
      <c r="N114" s="80"/>
      <c r="O114" s="78"/>
      <c r="P114" s="81"/>
      <c r="Q114" s="96"/>
    </row>
    <row r="115" spans="1:17" customFormat="1">
      <c r="A115" s="36" t="str">
        <f>IF(TRIM(G115)&lt;&gt;"",COUNTA(G$7:$G115)&amp;"","")</f>
        <v>80</v>
      </c>
      <c r="B115" s="37"/>
      <c r="C115" s="6"/>
      <c r="D115" s="38"/>
      <c r="E115" s="43" t="s">
        <v>129</v>
      </c>
      <c r="F115" s="40">
        <v>209.12</v>
      </c>
      <c r="G115" s="44" t="s">
        <v>82</v>
      </c>
      <c r="H115" s="42">
        <v>0.05</v>
      </c>
      <c r="I115" s="76">
        <f>IF(F115=0,"",F115+(F115*H115))</f>
        <v>219.57599999999999</v>
      </c>
      <c r="J115" s="77">
        <v>6.0137524999999998</v>
      </c>
      <c r="K115" s="78">
        <f t="shared" ref="K115:K117" si="81">IF(F115=0,"",J115*I115)</f>
        <v>1320.47571894</v>
      </c>
      <c r="L115" s="79">
        <v>77.394949999999994</v>
      </c>
      <c r="M115" s="84">
        <v>0.14499999999999999</v>
      </c>
      <c r="N115" s="80">
        <f t="shared" ref="N115:N117" si="82">L115*M115</f>
        <v>11.22226775</v>
      </c>
      <c r="O115" s="78">
        <f t="shared" ref="O115:O117" si="83">I115*N115</f>
        <v>2464.1406634740001</v>
      </c>
      <c r="P115" s="81">
        <f t="shared" ref="P115:P117" si="84">K115+O115</f>
        <v>3784.6163824139999</v>
      </c>
      <c r="Q115" s="96"/>
    </row>
    <row r="116" spans="1:17" customFormat="1">
      <c r="A116" s="36" t="str">
        <f>IF(TRIM(G116)&lt;&gt;"",COUNTA(G$7:$G116)&amp;"","")</f>
        <v>81</v>
      </c>
      <c r="B116" s="37"/>
      <c r="C116" s="6"/>
      <c r="D116" s="38"/>
      <c r="E116" s="43" t="s">
        <v>130</v>
      </c>
      <c r="F116" s="40">
        <v>41.58</v>
      </c>
      <c r="G116" s="44" t="s">
        <v>82</v>
      </c>
      <c r="H116" s="42">
        <v>0.05</v>
      </c>
      <c r="I116" s="76">
        <f>IF(F116=0,"",F116+(F116*H116))</f>
        <v>43.658999999999999</v>
      </c>
      <c r="J116" s="77">
        <v>10.940844863475</v>
      </c>
      <c r="K116" s="78">
        <f t="shared" si="81"/>
        <v>477.666345894453</v>
      </c>
      <c r="L116" s="79">
        <v>86.773499999999999</v>
      </c>
      <c r="M116" s="84">
        <v>2.1000000000000001E-2</v>
      </c>
      <c r="N116" s="80">
        <f t="shared" si="82"/>
        <v>1.8222434999999999</v>
      </c>
      <c r="O116" s="78">
        <f t="shared" si="83"/>
        <v>79.557328966499995</v>
      </c>
      <c r="P116" s="81">
        <f t="shared" si="84"/>
        <v>557.223674860953</v>
      </c>
      <c r="Q116" s="96"/>
    </row>
    <row r="117" spans="1:17" customFormat="1">
      <c r="A117" s="36" t="str">
        <f>IF(TRIM(G117)&lt;&gt;"",COUNTA(G$7:$G117)&amp;"","")</f>
        <v>82</v>
      </c>
      <c r="B117" s="37"/>
      <c r="C117" s="6"/>
      <c r="D117" s="38"/>
      <c r="E117" s="43" t="s">
        <v>131</v>
      </c>
      <c r="F117" s="40">
        <v>34</v>
      </c>
      <c r="G117" s="44" t="s">
        <v>82</v>
      </c>
      <c r="H117" s="42">
        <v>0.05</v>
      </c>
      <c r="I117" s="76">
        <f>IF(F117=0,"",F117+(F117*H117))</f>
        <v>35.700000000000003</v>
      </c>
      <c r="J117" s="77">
        <v>2.7671000000000001</v>
      </c>
      <c r="K117" s="78">
        <f t="shared" si="81"/>
        <v>98.785470000000004</v>
      </c>
      <c r="L117" s="79">
        <v>93.171949999999995</v>
      </c>
      <c r="M117" s="84">
        <v>3.1984948259642501E-2</v>
      </c>
      <c r="N117" s="80">
        <f t="shared" si="82"/>
        <v>2.9801000000000002</v>
      </c>
      <c r="O117" s="78">
        <f t="shared" si="83"/>
        <v>106.38957000000001</v>
      </c>
      <c r="P117" s="81">
        <f t="shared" si="84"/>
        <v>205.17504</v>
      </c>
      <c r="Q117" s="96"/>
    </row>
    <row r="118" spans="1:17" customFormat="1">
      <c r="A118" s="36" t="str">
        <f>IF(TRIM(G118)&lt;&gt;"",COUNTA(G$7:$G118)&amp;"","")</f>
        <v/>
      </c>
      <c r="B118" s="37"/>
      <c r="C118" s="6"/>
      <c r="D118" s="38"/>
      <c r="E118" s="43"/>
      <c r="F118" s="40"/>
      <c r="G118" s="44"/>
      <c r="H118" s="42"/>
      <c r="I118" s="76"/>
      <c r="J118" s="77"/>
      <c r="K118" s="78"/>
      <c r="L118" s="79"/>
      <c r="M118" s="84"/>
      <c r="N118" s="80"/>
      <c r="O118" s="78"/>
      <c r="P118" s="81"/>
      <c r="Q118" s="96"/>
    </row>
    <row r="119" spans="1:17" customFormat="1">
      <c r="A119" s="36" t="str">
        <f>IF(TRIM(G119)&lt;&gt;"",COUNTA(G$7:$G119)&amp;"","")</f>
        <v/>
      </c>
      <c r="B119" s="37"/>
      <c r="C119" s="6"/>
      <c r="D119" s="38"/>
      <c r="E119" s="39" t="s">
        <v>132</v>
      </c>
      <c r="F119" s="40"/>
      <c r="G119" s="44"/>
      <c r="H119" s="42"/>
      <c r="I119" s="76"/>
      <c r="J119" s="77"/>
      <c r="K119" s="78"/>
      <c r="L119" s="79"/>
      <c r="M119" s="84"/>
      <c r="N119" s="80"/>
      <c r="O119" s="78"/>
      <c r="P119" s="81"/>
      <c r="Q119" s="96"/>
    </row>
    <row r="120" spans="1:17" customFormat="1" ht="100.8">
      <c r="A120" s="36" t="str">
        <f>IF(TRIM(G120)&lt;&gt;"",COUNTA(G$7:$G120)&amp;"","")</f>
        <v>83</v>
      </c>
      <c r="B120" s="37"/>
      <c r="C120" s="6"/>
      <c r="D120" s="38"/>
      <c r="E120" s="43" t="s">
        <v>133</v>
      </c>
      <c r="F120" s="40">
        <v>128</v>
      </c>
      <c r="G120" s="44" t="s">
        <v>75</v>
      </c>
      <c r="H120" s="42">
        <v>0.1</v>
      </c>
      <c r="I120" s="76">
        <f>IF(F120=0,"",F120+(F120*H120))</f>
        <v>140.80000000000001</v>
      </c>
      <c r="J120" s="77">
        <v>5.4404000000000003</v>
      </c>
      <c r="K120" s="78">
        <f t="shared" ref="K120:K124" si="85">IF(F120=0,"",J120*I120)</f>
        <v>766.00832000000003</v>
      </c>
      <c r="L120" s="79">
        <v>93.171949999999995</v>
      </c>
      <c r="M120" s="84">
        <v>4.2000000000000003E-2</v>
      </c>
      <c r="N120" s="80">
        <f t="shared" ref="N120:N124" si="86">L120*M120</f>
        <v>3.9132218999999999</v>
      </c>
      <c r="O120" s="78">
        <f t="shared" ref="O120:O124" si="87">I120*N120</f>
        <v>550.98164352000003</v>
      </c>
      <c r="P120" s="81">
        <f t="shared" ref="P120:P124" si="88">K120+O120</f>
        <v>1316.9899635199999</v>
      </c>
      <c r="Q120" s="96"/>
    </row>
    <row r="121" spans="1:17" customFormat="1" ht="100.8">
      <c r="A121" s="36" t="str">
        <f>IF(TRIM(G121)&lt;&gt;"",COUNTA(G$7:$G121)&amp;"","")</f>
        <v>84</v>
      </c>
      <c r="B121" s="37"/>
      <c r="C121" s="6"/>
      <c r="D121" s="38"/>
      <c r="E121" s="43" t="s">
        <v>134</v>
      </c>
      <c r="F121" s="40">
        <v>385</v>
      </c>
      <c r="G121" s="44" t="s">
        <v>75</v>
      </c>
      <c r="H121" s="42">
        <v>0.1</v>
      </c>
      <c r="I121" s="76">
        <f>IF(F121=0,"",F121+(F121*H121))</f>
        <v>423.5</v>
      </c>
      <c r="J121" s="77">
        <v>6.3315000000000001</v>
      </c>
      <c r="K121" s="78">
        <f t="shared" si="85"/>
        <v>2681.3902499999999</v>
      </c>
      <c r="L121" s="79">
        <v>93.171949999999995</v>
      </c>
      <c r="M121" s="84">
        <v>4.2000000000000003E-2</v>
      </c>
      <c r="N121" s="80">
        <f t="shared" si="86"/>
        <v>3.9132218999999999</v>
      </c>
      <c r="O121" s="78">
        <f t="shared" si="87"/>
        <v>1657.2494746499999</v>
      </c>
      <c r="P121" s="81">
        <f t="shared" si="88"/>
        <v>4338.6397246500001</v>
      </c>
      <c r="Q121" s="96"/>
    </row>
    <row r="122" spans="1:17" customFormat="1" ht="72">
      <c r="A122" s="36" t="str">
        <f>IF(TRIM(G122)&lt;&gt;"",COUNTA(G$7:$G122)&amp;"","")</f>
        <v>85</v>
      </c>
      <c r="B122" s="37"/>
      <c r="C122" s="6"/>
      <c r="D122" s="38"/>
      <c r="E122" s="43" t="s">
        <v>135</v>
      </c>
      <c r="F122" s="40">
        <v>51</v>
      </c>
      <c r="G122" s="44" t="s">
        <v>75</v>
      </c>
      <c r="H122" s="42">
        <v>0.1</v>
      </c>
      <c r="I122" s="76">
        <f>IF(F122=0,"",F122+(F122*H122))</f>
        <v>56.1</v>
      </c>
      <c r="J122" s="77">
        <v>3.9771200000000002</v>
      </c>
      <c r="K122" s="78">
        <f t="shared" si="85"/>
        <v>223.116432</v>
      </c>
      <c r="L122" s="79">
        <v>93.171949999999995</v>
      </c>
      <c r="M122" s="84">
        <v>4.8000000000000001E-2</v>
      </c>
      <c r="N122" s="80">
        <f t="shared" si="86"/>
        <v>4.4722536000000002</v>
      </c>
      <c r="O122" s="78">
        <f t="shared" si="87"/>
        <v>250.89342696</v>
      </c>
      <c r="P122" s="81">
        <f t="shared" si="88"/>
        <v>474.00985895999997</v>
      </c>
      <c r="Q122" s="96"/>
    </row>
    <row r="123" spans="1:17" customFormat="1">
      <c r="A123" s="36" t="str">
        <f>IF(TRIM(G123)&lt;&gt;"",COUNTA(G$7:$G123)&amp;"","")</f>
        <v>86</v>
      </c>
      <c r="B123" s="37"/>
      <c r="C123" s="6"/>
      <c r="D123" s="38"/>
      <c r="E123" s="43" t="s">
        <v>136</v>
      </c>
      <c r="F123" s="40">
        <v>4</v>
      </c>
      <c r="G123" s="44" t="s">
        <v>75</v>
      </c>
      <c r="H123" s="42">
        <v>0.1</v>
      </c>
      <c r="I123" s="76">
        <f t="shared" ref="I123:I128" si="89">IF(F123=0,"",F123+(F123*H123))</f>
        <v>4.4000000000000004</v>
      </c>
      <c r="J123" s="77">
        <v>5.4873000000000003</v>
      </c>
      <c r="K123" s="78">
        <f t="shared" si="85"/>
        <v>24.144120000000001</v>
      </c>
      <c r="L123" s="79">
        <v>93.171949999999995</v>
      </c>
      <c r="M123" s="84">
        <v>5.1999999999999998E-2</v>
      </c>
      <c r="N123" s="80">
        <f t="shared" si="86"/>
        <v>4.8449413999999997</v>
      </c>
      <c r="O123" s="78">
        <f t="shared" si="87"/>
        <v>21.317742160000002</v>
      </c>
      <c r="P123" s="81">
        <f t="shared" si="88"/>
        <v>45.461862160000003</v>
      </c>
      <c r="Q123" s="96"/>
    </row>
    <row r="124" spans="1:17" customFormat="1">
      <c r="A124" s="36" t="str">
        <f>IF(TRIM(G124)&lt;&gt;"",COUNTA(G$7:$G124)&amp;"","")</f>
        <v>87</v>
      </c>
      <c r="B124" s="37"/>
      <c r="C124" s="6"/>
      <c r="D124" s="38"/>
      <c r="E124" s="43" t="s">
        <v>137</v>
      </c>
      <c r="F124" s="40">
        <v>165</v>
      </c>
      <c r="G124" s="44" t="s">
        <v>75</v>
      </c>
      <c r="H124" s="42">
        <v>0.1</v>
      </c>
      <c r="I124" s="76">
        <f t="shared" si="89"/>
        <v>181.5</v>
      </c>
      <c r="J124" s="77">
        <v>1.9041399999999999</v>
      </c>
      <c r="K124" s="78">
        <f t="shared" si="85"/>
        <v>345.60140999999999</v>
      </c>
      <c r="L124" s="79">
        <v>93.171949999999995</v>
      </c>
      <c r="M124" s="84">
        <v>6.5000000000000002E-2</v>
      </c>
      <c r="N124" s="80">
        <f t="shared" si="86"/>
        <v>6.0561767499999997</v>
      </c>
      <c r="O124" s="78">
        <f t="shared" si="87"/>
        <v>1099.196080125</v>
      </c>
      <c r="P124" s="81">
        <f t="shared" si="88"/>
        <v>1444.797490125</v>
      </c>
      <c r="Q124" s="96"/>
    </row>
    <row r="125" spans="1:17" customFormat="1">
      <c r="A125" s="36" t="str">
        <f>IF(TRIM(G125)&lt;&gt;"",COUNTA(G$7:$G125)&amp;"","")</f>
        <v>88</v>
      </c>
      <c r="B125" s="37"/>
      <c r="C125" s="6"/>
      <c r="D125" s="38"/>
      <c r="E125" s="64" t="s">
        <v>115</v>
      </c>
      <c r="F125" s="62">
        <f>+ROUNDUP(F124/32,0)</f>
        <v>6</v>
      </c>
      <c r="G125" s="65" t="s">
        <v>85</v>
      </c>
      <c r="H125" s="42">
        <v>0</v>
      </c>
      <c r="I125" s="76">
        <f t="shared" si="89"/>
        <v>6</v>
      </c>
      <c r="J125" s="82"/>
      <c r="K125" s="83"/>
      <c r="L125" s="89"/>
      <c r="M125" s="90"/>
      <c r="N125" s="91"/>
      <c r="O125" s="83"/>
      <c r="P125" s="92"/>
      <c r="Q125" s="96"/>
    </row>
    <row r="126" spans="1:17" customFormat="1">
      <c r="A126" s="36" t="str">
        <f>IF(TRIM(G126)&lt;&gt;"",COUNTA(G$7:$G126)&amp;"","")</f>
        <v>89</v>
      </c>
      <c r="B126" s="37"/>
      <c r="C126" s="6"/>
      <c r="D126" s="38"/>
      <c r="E126" s="64" t="s">
        <v>116</v>
      </c>
      <c r="F126" s="62">
        <f>ROUNDUP(F124*1.33,0)</f>
        <v>220</v>
      </c>
      <c r="G126" s="65" t="s">
        <v>85</v>
      </c>
      <c r="H126" s="42">
        <v>0</v>
      </c>
      <c r="I126" s="76">
        <f t="shared" si="89"/>
        <v>220</v>
      </c>
      <c r="J126" s="82"/>
      <c r="K126" s="83"/>
      <c r="L126" s="89"/>
      <c r="M126" s="90"/>
      <c r="N126" s="91"/>
      <c r="O126" s="83"/>
      <c r="P126" s="92"/>
      <c r="Q126" s="96"/>
    </row>
    <row r="127" spans="1:17" customFormat="1">
      <c r="A127" s="36" t="str">
        <f>IF(TRIM(G127)&lt;&gt;"",COUNTA(G$7:$G127)&amp;"","")</f>
        <v>90</v>
      </c>
      <c r="B127" s="37"/>
      <c r="C127" s="6"/>
      <c r="D127" s="38"/>
      <c r="E127" s="64" t="s">
        <v>117</v>
      </c>
      <c r="F127" s="62">
        <f>ROUNDUP(F125*16,0)</f>
        <v>96</v>
      </c>
      <c r="G127" s="65" t="s">
        <v>82</v>
      </c>
      <c r="H127" s="42">
        <v>0.05</v>
      </c>
      <c r="I127" s="76">
        <f t="shared" si="89"/>
        <v>100.8</v>
      </c>
      <c r="J127" s="82"/>
      <c r="K127" s="83"/>
      <c r="L127" s="89"/>
      <c r="M127" s="90"/>
      <c r="N127" s="91"/>
      <c r="O127" s="83"/>
      <c r="P127" s="92"/>
      <c r="Q127" s="96"/>
    </row>
    <row r="128" spans="1:17" customFormat="1">
      <c r="A128" s="36" t="str">
        <f>IF(TRIM(G128)&lt;&gt;"",COUNTA(G$7:$G128)&amp;"","")</f>
        <v>91</v>
      </c>
      <c r="B128" s="37"/>
      <c r="C128" s="6"/>
      <c r="D128" s="38"/>
      <c r="E128" s="64" t="s">
        <v>118</v>
      </c>
      <c r="F128" s="62">
        <f>F124*0.084</f>
        <v>13.86</v>
      </c>
      <c r="G128" s="65" t="s">
        <v>119</v>
      </c>
      <c r="H128" s="42">
        <v>0.05</v>
      </c>
      <c r="I128" s="76">
        <f t="shared" si="89"/>
        <v>14.553000000000001</v>
      </c>
      <c r="J128" s="82"/>
      <c r="K128" s="83"/>
      <c r="L128" s="89"/>
      <c r="M128" s="90"/>
      <c r="N128" s="91"/>
      <c r="O128" s="83"/>
      <c r="P128" s="92"/>
      <c r="Q128" s="96"/>
    </row>
    <row r="129" spans="1:17" customFormat="1">
      <c r="A129" s="36" t="str">
        <f>IF(TRIM(G129)&lt;&gt;"",COUNTA(G$7:$G129)&amp;"","")</f>
        <v/>
      </c>
      <c r="B129" s="37"/>
      <c r="C129" s="6"/>
      <c r="D129" s="38"/>
      <c r="E129" s="43"/>
      <c r="F129" s="40"/>
      <c r="G129" s="44"/>
      <c r="H129" s="42"/>
      <c r="I129" s="76"/>
      <c r="J129" s="77"/>
      <c r="K129" s="78"/>
      <c r="L129" s="79"/>
      <c r="M129" s="84"/>
      <c r="N129" s="80"/>
      <c r="O129" s="78"/>
      <c r="P129" s="81"/>
      <c r="Q129" s="96"/>
    </row>
    <row r="130" spans="1:17" customFormat="1">
      <c r="A130" s="36" t="str">
        <f>IF(TRIM(G130)&lt;&gt;"",COUNTA(G$7:$G130)&amp;"","")</f>
        <v/>
      </c>
      <c r="B130" s="37"/>
      <c r="C130" s="6"/>
      <c r="D130" s="38"/>
      <c r="E130" s="39" t="s">
        <v>138</v>
      </c>
      <c r="F130" s="40"/>
      <c r="G130" s="44"/>
      <c r="H130" s="42"/>
      <c r="I130" s="76"/>
      <c r="J130" s="77"/>
      <c r="K130" s="78"/>
      <c r="L130" s="79"/>
      <c r="M130" s="84"/>
      <c r="N130" s="80"/>
      <c r="O130" s="78"/>
      <c r="P130" s="81"/>
      <c r="Q130" s="96"/>
    </row>
    <row r="131" spans="1:17" customFormat="1">
      <c r="A131" s="36" t="str">
        <f>IF(TRIM(G131)&lt;&gt;"",COUNTA(G$7:$G131)&amp;"","")</f>
        <v>92</v>
      </c>
      <c r="B131" s="37"/>
      <c r="C131" s="6"/>
      <c r="D131" s="38"/>
      <c r="E131" s="43" t="s">
        <v>139</v>
      </c>
      <c r="F131" s="40">
        <v>330</v>
      </c>
      <c r="G131" s="44" t="s">
        <v>75</v>
      </c>
      <c r="H131" s="42">
        <v>0.1</v>
      </c>
      <c r="I131" s="76">
        <f>IF(F131=0,"",F131+(F131*H131))</f>
        <v>363</v>
      </c>
      <c r="J131" s="77">
        <v>0.44085999999999997</v>
      </c>
      <c r="K131" s="78">
        <f t="shared" ref="K131:K132" si="90">IF(F131=0,"",J131*I131)</f>
        <v>160.03218000000001</v>
      </c>
      <c r="L131" s="79">
        <v>77.833200000000005</v>
      </c>
      <c r="M131" s="84">
        <v>3.5999999999999997E-2</v>
      </c>
      <c r="N131" s="80">
        <f t="shared" ref="N131:N132" si="91">L131*M131</f>
        <v>2.8019951999999999</v>
      </c>
      <c r="O131" s="78">
        <f t="shared" ref="O131:O132" si="92">I131*N131</f>
        <v>1017.1242576</v>
      </c>
      <c r="P131" s="81">
        <f t="shared" ref="P131:P132" si="93">K131+O131</f>
        <v>1177.1564375999999</v>
      </c>
      <c r="Q131" s="96"/>
    </row>
    <row r="132" spans="1:17" customFormat="1">
      <c r="A132" s="36" t="str">
        <f>IF(TRIM(G132)&lt;&gt;"",COUNTA(G$7:$G132)&amp;"","")</f>
        <v>93</v>
      </c>
      <c r="B132" s="37"/>
      <c r="C132" s="6"/>
      <c r="D132" s="38"/>
      <c r="E132" s="43" t="s">
        <v>140</v>
      </c>
      <c r="F132" s="40">
        <v>165</v>
      </c>
      <c r="G132" s="44" t="s">
        <v>75</v>
      </c>
      <c r="H132" s="42">
        <v>0.1</v>
      </c>
      <c r="I132" s="76">
        <f>IF(F132=0,"",F132+(F132*H132))</f>
        <v>181.5</v>
      </c>
      <c r="J132" s="77">
        <v>0.34705999999999998</v>
      </c>
      <c r="K132" s="78">
        <f t="shared" si="90"/>
        <v>62.991390000000003</v>
      </c>
      <c r="L132" s="79">
        <v>77.833200000000005</v>
      </c>
      <c r="M132" s="84">
        <v>0.03</v>
      </c>
      <c r="N132" s="80">
        <f t="shared" si="91"/>
        <v>2.3349959999999998</v>
      </c>
      <c r="O132" s="78">
        <f t="shared" si="92"/>
        <v>423.80177400000002</v>
      </c>
      <c r="P132" s="81">
        <f t="shared" si="93"/>
        <v>486.79316399999999</v>
      </c>
      <c r="Q132" s="96"/>
    </row>
    <row r="133" spans="1:17" customFormat="1">
      <c r="A133" s="36" t="str">
        <f>IF(TRIM(G133)&lt;&gt;"",COUNTA(G$7:$G133)&amp;"","")</f>
        <v/>
      </c>
      <c r="B133" s="37"/>
      <c r="C133" s="6"/>
      <c r="D133" s="38"/>
      <c r="E133" s="43"/>
      <c r="F133" s="40"/>
      <c r="G133" s="44"/>
      <c r="H133" s="42"/>
      <c r="I133" s="76"/>
      <c r="J133" s="77"/>
      <c r="K133" s="78"/>
      <c r="L133" s="79"/>
      <c r="M133" s="84"/>
      <c r="N133" s="80"/>
      <c r="O133" s="78"/>
      <c r="P133" s="81"/>
      <c r="Q133" s="96"/>
    </row>
    <row r="134" spans="1:17" customFormat="1">
      <c r="A134" s="36" t="str">
        <f>IF(TRIM(G134)&lt;&gt;"",COUNTA(G$7:$G134)&amp;"","")</f>
        <v/>
      </c>
      <c r="B134" s="37"/>
      <c r="C134" s="6"/>
      <c r="D134" s="38"/>
      <c r="E134" s="39" t="s">
        <v>141</v>
      </c>
      <c r="F134" s="40"/>
      <c r="G134" s="44"/>
      <c r="H134" s="42"/>
      <c r="I134" s="76"/>
      <c r="J134" s="77"/>
      <c r="K134" s="78"/>
      <c r="L134" s="79"/>
      <c r="M134" s="84"/>
      <c r="N134" s="80"/>
      <c r="O134" s="78"/>
      <c r="P134" s="81"/>
      <c r="Q134" s="96"/>
    </row>
    <row r="135" spans="1:17" customFormat="1">
      <c r="A135" s="36" t="str">
        <f>IF(TRIM(G135)&lt;&gt;"",COUNTA(G$7:$G135)&amp;"","")</f>
        <v>94</v>
      </c>
      <c r="B135" s="37"/>
      <c r="C135" s="6"/>
      <c r="D135" s="38"/>
      <c r="E135" s="43" t="s">
        <v>142</v>
      </c>
      <c r="F135" s="40">
        <v>891</v>
      </c>
      <c r="G135" s="44" t="s">
        <v>75</v>
      </c>
      <c r="H135" s="42">
        <v>0.1</v>
      </c>
      <c r="I135" s="76">
        <f t="shared" ref="I135:I138" si="94">IF(F135=0,"",F135+(F135*H135))</f>
        <v>980.1</v>
      </c>
      <c r="J135" s="77">
        <v>3.8458000000000001</v>
      </c>
      <c r="K135" s="78">
        <f t="shared" ref="K135:K138" si="95">IF(F135=0,"",J135*I135)</f>
        <v>3769.2685799999999</v>
      </c>
      <c r="L135" s="79">
        <v>93.171949999999995</v>
      </c>
      <c r="M135" s="84">
        <v>3.7999999999999999E-2</v>
      </c>
      <c r="N135" s="80">
        <f t="shared" ref="N135:N138" si="96">L135*M135</f>
        <v>3.5405340999999999</v>
      </c>
      <c r="O135" s="78">
        <f t="shared" ref="O135:O138" si="97">I135*N135</f>
        <v>3470.0774714099998</v>
      </c>
      <c r="P135" s="81">
        <f t="shared" ref="P135:P138" si="98">K135+O135</f>
        <v>7239.3460514099997</v>
      </c>
      <c r="Q135" s="96"/>
    </row>
    <row r="136" spans="1:17" customFormat="1">
      <c r="A136" s="36" t="str">
        <f>IF(TRIM(G136)&lt;&gt;"",COUNTA(G$7:$G136)&amp;"","")</f>
        <v>95</v>
      </c>
      <c r="B136" s="37"/>
      <c r="C136" s="6"/>
      <c r="D136" s="38"/>
      <c r="E136" s="43" t="s">
        <v>143</v>
      </c>
      <c r="F136" s="40">
        <v>782</v>
      </c>
      <c r="G136" s="44" t="s">
        <v>75</v>
      </c>
      <c r="H136" s="42">
        <v>0.1</v>
      </c>
      <c r="I136" s="76">
        <f t="shared" si="94"/>
        <v>860.2</v>
      </c>
      <c r="J136" s="77">
        <v>0.34705999999999998</v>
      </c>
      <c r="K136" s="78">
        <f t="shared" si="95"/>
        <v>298.54101200000002</v>
      </c>
      <c r="L136" s="79">
        <v>77.833200000000005</v>
      </c>
      <c r="M136" s="84">
        <v>2.4E-2</v>
      </c>
      <c r="N136" s="80">
        <f t="shared" si="96"/>
        <v>1.8679968</v>
      </c>
      <c r="O136" s="78">
        <f t="shared" si="97"/>
        <v>1606.85084736</v>
      </c>
      <c r="P136" s="81">
        <f t="shared" si="98"/>
        <v>1905.3918593599999</v>
      </c>
      <c r="Q136" s="96"/>
    </row>
    <row r="137" spans="1:17" customFormat="1">
      <c r="A137" s="36" t="str">
        <f>IF(TRIM(G137)&lt;&gt;"",COUNTA(G$7:$G137)&amp;"","")</f>
        <v>96</v>
      </c>
      <c r="B137" s="37"/>
      <c r="C137" s="6"/>
      <c r="D137" s="38"/>
      <c r="E137" s="43" t="s">
        <v>144</v>
      </c>
      <c r="F137" s="40">
        <v>422</v>
      </c>
      <c r="G137" s="44" t="s">
        <v>75</v>
      </c>
      <c r="H137" s="42">
        <v>0.1</v>
      </c>
      <c r="I137" s="76">
        <f t="shared" si="94"/>
        <v>464.2</v>
      </c>
      <c r="J137" s="77">
        <v>6.3315000000000001</v>
      </c>
      <c r="K137" s="78">
        <f t="shared" si="95"/>
        <v>2939.0823</v>
      </c>
      <c r="L137" s="79">
        <v>86.773499999999999</v>
      </c>
      <c r="M137" s="84">
        <v>0.14299999999999999</v>
      </c>
      <c r="N137" s="80">
        <f t="shared" si="96"/>
        <v>12.4086105</v>
      </c>
      <c r="O137" s="78">
        <f t="shared" si="97"/>
        <v>5760.0769940999999</v>
      </c>
      <c r="P137" s="81">
        <f t="shared" si="98"/>
        <v>8699.1592940999999</v>
      </c>
      <c r="Q137" s="96"/>
    </row>
    <row r="138" spans="1:17" customFormat="1">
      <c r="A138" s="36" t="str">
        <f>IF(TRIM(G138)&lt;&gt;"",COUNTA(G$7:$G138)&amp;"","")</f>
        <v>97</v>
      </c>
      <c r="B138" s="37"/>
      <c r="C138" s="6"/>
      <c r="D138" s="38"/>
      <c r="E138" s="43" t="s">
        <v>145</v>
      </c>
      <c r="F138" s="40">
        <v>140</v>
      </c>
      <c r="G138" s="44" t="s">
        <v>75</v>
      </c>
      <c r="H138" s="42">
        <v>0.1</v>
      </c>
      <c r="I138" s="76">
        <f t="shared" si="94"/>
        <v>154</v>
      </c>
      <c r="J138" s="77">
        <v>4.9151199999999999</v>
      </c>
      <c r="K138" s="78">
        <f t="shared" si="95"/>
        <v>756.92848000000004</v>
      </c>
      <c r="L138" s="79">
        <v>86.773499999999999</v>
      </c>
      <c r="M138" s="84">
        <v>0.14299999999999999</v>
      </c>
      <c r="N138" s="80">
        <f t="shared" si="96"/>
        <v>12.4086105</v>
      </c>
      <c r="O138" s="78">
        <f t="shared" si="97"/>
        <v>1910.926017</v>
      </c>
      <c r="P138" s="81">
        <f t="shared" si="98"/>
        <v>2667.8544969999998</v>
      </c>
      <c r="Q138" s="96"/>
    </row>
    <row r="139" spans="1:17" customFormat="1">
      <c r="A139" s="36" t="str">
        <f>IF(TRIM(G139)&lt;&gt;"",COUNTA(G$7:$G139)&amp;"","")</f>
        <v/>
      </c>
      <c r="B139" s="37"/>
      <c r="C139" s="6"/>
      <c r="D139" s="38"/>
      <c r="E139" s="43"/>
      <c r="F139" s="40"/>
      <c r="G139" s="44"/>
      <c r="H139" s="42"/>
      <c r="I139" s="76"/>
      <c r="J139" s="77"/>
      <c r="K139" s="78"/>
      <c r="L139" s="79"/>
      <c r="M139" s="84"/>
      <c r="N139" s="80"/>
      <c r="O139" s="78"/>
      <c r="P139" s="81"/>
      <c r="Q139" s="96"/>
    </row>
    <row r="140" spans="1:17" customFormat="1">
      <c r="A140" s="36" t="str">
        <f>IF(TRIM(G140)&lt;&gt;"",COUNTA(G$7:$G140)&amp;"","")</f>
        <v/>
      </c>
      <c r="B140" s="37"/>
      <c r="C140" s="6"/>
      <c r="D140" s="38"/>
      <c r="E140" s="39" t="s">
        <v>146</v>
      </c>
      <c r="F140" s="40"/>
      <c r="G140" s="44"/>
      <c r="H140" s="42"/>
      <c r="I140" s="76"/>
      <c r="J140" s="77"/>
      <c r="K140" s="78"/>
      <c r="L140" s="79"/>
      <c r="M140" s="84"/>
      <c r="N140" s="80"/>
      <c r="O140" s="78"/>
      <c r="P140" s="81"/>
      <c r="Q140" s="96"/>
    </row>
    <row r="141" spans="1:17" customFormat="1">
      <c r="A141" s="36" t="str">
        <f>IF(TRIM(G141)&lt;&gt;"",COUNTA(G$7:$G141)&amp;"","")</f>
        <v>98</v>
      </c>
      <c r="B141" s="37"/>
      <c r="C141" s="6"/>
      <c r="D141" s="38"/>
      <c r="E141" s="43" t="s">
        <v>147</v>
      </c>
      <c r="F141" s="40">
        <f>+F117</f>
        <v>34</v>
      </c>
      <c r="G141" s="44" t="s">
        <v>82</v>
      </c>
      <c r="H141" s="42">
        <v>0.05</v>
      </c>
      <c r="I141" s="76">
        <f>IF(F141=0,"",F141+(F141*H141))</f>
        <v>35.700000000000003</v>
      </c>
      <c r="J141" s="77">
        <v>0.22511999999999999</v>
      </c>
      <c r="K141" s="78">
        <f t="shared" ref="K141:K143" si="99">IF(F141=0,"",J141*I141)</f>
        <v>8.0367840000000008</v>
      </c>
      <c r="L141" s="79">
        <v>77.833200000000005</v>
      </c>
      <c r="M141" s="84">
        <v>1.9E-2</v>
      </c>
      <c r="N141" s="80">
        <f t="shared" ref="N141:N143" si="100">L141*M141</f>
        <v>1.4788307999999999</v>
      </c>
      <c r="O141" s="78">
        <f t="shared" ref="O141:O143" si="101">I141*N141</f>
        <v>52.79425956</v>
      </c>
      <c r="P141" s="81">
        <f t="shared" ref="P141:P143" si="102">K141+O141</f>
        <v>60.831043559999998</v>
      </c>
      <c r="Q141" s="96"/>
    </row>
    <row r="142" spans="1:17" customFormat="1">
      <c r="A142" s="36" t="str">
        <f>IF(TRIM(G142)&lt;&gt;"",COUNTA(G$7:$G142)&amp;"","")</f>
        <v>99</v>
      </c>
      <c r="B142" s="37"/>
      <c r="C142" s="6"/>
      <c r="D142" s="38"/>
      <c r="E142" s="43" t="s">
        <v>148</v>
      </c>
      <c r="F142" s="40">
        <v>1</v>
      </c>
      <c r="G142" s="44" t="s">
        <v>85</v>
      </c>
      <c r="H142" s="42">
        <v>0</v>
      </c>
      <c r="I142" s="76">
        <f>IF(F142=0,"",F142+(F142*H142))</f>
        <v>1</v>
      </c>
      <c r="J142" s="77">
        <v>16.715160000000001</v>
      </c>
      <c r="K142" s="78">
        <f t="shared" si="99"/>
        <v>16.715160000000001</v>
      </c>
      <c r="L142" s="79">
        <v>77.833200000000005</v>
      </c>
      <c r="M142" s="84">
        <v>3.18</v>
      </c>
      <c r="N142" s="80">
        <f t="shared" si="100"/>
        <v>247.50957600000001</v>
      </c>
      <c r="O142" s="78">
        <f t="shared" si="101"/>
        <v>247.50957600000001</v>
      </c>
      <c r="P142" s="81">
        <f t="shared" si="102"/>
        <v>264.22473600000001</v>
      </c>
      <c r="Q142" s="96"/>
    </row>
    <row r="143" spans="1:17" customFormat="1">
      <c r="A143" s="36" t="str">
        <f>IF(TRIM(G143)&lt;&gt;"",COUNTA(G$7:$G143)&amp;"","")</f>
        <v>100</v>
      </c>
      <c r="B143" s="37"/>
      <c r="C143" s="6"/>
      <c r="D143" s="38"/>
      <c r="E143" s="43" t="s">
        <v>149</v>
      </c>
      <c r="F143" s="40">
        <v>1</v>
      </c>
      <c r="G143" s="44" t="s">
        <v>85</v>
      </c>
      <c r="H143" s="42">
        <v>0</v>
      </c>
      <c r="I143" s="76">
        <f>IF(F143=0,"",F143+(F143*H143))</f>
        <v>1</v>
      </c>
      <c r="J143" s="77">
        <v>13.9293</v>
      </c>
      <c r="K143" s="78">
        <f t="shared" si="99"/>
        <v>13.9293</v>
      </c>
      <c r="L143" s="79">
        <v>77.833200000000005</v>
      </c>
      <c r="M143" s="84">
        <v>2.65</v>
      </c>
      <c r="N143" s="80">
        <f t="shared" si="100"/>
        <v>206.25798</v>
      </c>
      <c r="O143" s="78">
        <f t="shared" si="101"/>
        <v>206.25798</v>
      </c>
      <c r="P143" s="81">
        <f t="shared" si="102"/>
        <v>220.18727999999999</v>
      </c>
      <c r="Q143" s="96"/>
    </row>
    <row r="144" spans="1:17" customFormat="1">
      <c r="A144" s="36" t="str">
        <f>IF(TRIM(G144)&lt;&gt;"",COUNTA(G$7:$G144)&amp;"","")</f>
        <v/>
      </c>
      <c r="B144" s="5"/>
      <c r="C144" s="6"/>
      <c r="D144" s="38"/>
      <c r="E144" s="45"/>
      <c r="F144" s="40"/>
      <c r="G144" s="41"/>
      <c r="H144" s="42"/>
      <c r="I144" s="76"/>
      <c r="J144" s="77"/>
      <c r="K144" s="78"/>
      <c r="L144" s="79"/>
      <c r="M144" s="84"/>
      <c r="N144" s="80"/>
      <c r="O144" s="78"/>
      <c r="P144" s="81"/>
      <c r="Q144" s="96"/>
    </row>
    <row r="145" spans="1:17" s="8" customFormat="1" ht="15.6">
      <c r="A145" s="36" t="str">
        <f>IF(TRIM(G145)&lt;&gt;"",COUNTA(G$7:$G145)&amp;"","")</f>
        <v/>
      </c>
      <c r="B145" s="48"/>
      <c r="C145" s="48"/>
      <c r="D145" s="49"/>
      <c r="E145" s="50"/>
      <c r="F145" s="51"/>
      <c r="G145" s="52"/>
      <c r="H145" s="53" t="s">
        <v>93</v>
      </c>
      <c r="I145" s="85"/>
      <c r="J145" s="86">
        <f>SUM(K52:K144)</f>
        <v>15151.221871625599</v>
      </c>
      <c r="K145" s="263" t="s">
        <v>94</v>
      </c>
      <c r="L145" s="264"/>
      <c r="M145" s="87">
        <f>SUM(O52:O144)</f>
        <v>24056.577360365402</v>
      </c>
      <c r="N145" s="263"/>
      <c r="O145" s="264"/>
      <c r="P145" s="88"/>
      <c r="Q145" s="97">
        <f>SUM(P52:P144)</f>
        <v>39207.799231990903</v>
      </c>
    </row>
    <row r="146" spans="1:17">
      <c r="A146" s="54" t="str">
        <f>IF(TRIM(G146)&lt;&gt;"",COUNTA(G$7:$G146)&amp;"","")</f>
        <v/>
      </c>
      <c r="B146" s="6"/>
      <c r="C146" s="6"/>
      <c r="D146" s="55"/>
      <c r="E146" s="56"/>
      <c r="F146" s="40"/>
      <c r="G146" s="41"/>
      <c r="H146" s="42" t="str">
        <f>IF(F146=0,"",0)</f>
        <v/>
      </c>
      <c r="I146" s="76" t="str">
        <f t="shared" ref="I146:I154" si="103">IF(F146=0,"",F146+(F146*H146))</f>
        <v/>
      </c>
      <c r="J146" s="77" t="str">
        <f>IF(F146=0,"",0)</f>
        <v/>
      </c>
      <c r="K146" s="78" t="str">
        <f t="shared" ref="K146" si="104">IF(F146=0,"",J146*I146)</f>
        <v/>
      </c>
      <c r="L146" s="79" t="str">
        <f>IF(F146=0,"",#REF!)</f>
        <v/>
      </c>
      <c r="M146" s="80" t="str">
        <f>IF(F146=0,"",0)</f>
        <v/>
      </c>
      <c r="N146" s="80" t="str">
        <f>IF(F146=0,"",M146*I146)</f>
        <v/>
      </c>
      <c r="O146" s="78" t="str">
        <f>IF(F146=0,"",N146*L146)</f>
        <v/>
      </c>
      <c r="P146" s="81" t="str">
        <f>IF(F146=0,"",K146+O146)</f>
        <v/>
      </c>
      <c r="Q146" s="96"/>
    </row>
    <row r="147" spans="1:17" ht="20.100000000000001" customHeight="1">
      <c r="A147" s="29" t="str">
        <f>IF(TRIM(G147)&lt;&gt;"",COUNTA(G$7:$G147)&amp;"","")</f>
        <v/>
      </c>
      <c r="B147" s="30"/>
      <c r="C147" s="31" t="s">
        <v>1</v>
      </c>
      <c r="D147" s="32" t="s">
        <v>150</v>
      </c>
      <c r="E147" s="33" t="s">
        <v>151</v>
      </c>
      <c r="F147" s="34"/>
      <c r="G147" s="35"/>
      <c r="H147" s="30"/>
      <c r="I147" s="74"/>
      <c r="J147" s="30"/>
      <c r="K147" s="30"/>
      <c r="L147" s="30"/>
      <c r="M147" s="75"/>
      <c r="N147" s="30"/>
      <c r="O147" s="30"/>
      <c r="P147" s="30"/>
      <c r="Q147" s="95"/>
    </row>
    <row r="148" spans="1:17" s="7" customFormat="1" ht="19.2" customHeight="1">
      <c r="A148" s="36" t="str">
        <f>IF(TRIM(G148)&lt;&gt;"",COUNTA(G$7:$G148)&amp;"","")</f>
        <v/>
      </c>
      <c r="B148" s="37"/>
      <c r="C148" s="37"/>
      <c r="D148" s="38"/>
      <c r="E148" s="39" t="s">
        <v>151</v>
      </c>
      <c r="F148" s="40"/>
      <c r="G148" s="41"/>
      <c r="H148" s="42"/>
      <c r="I148" s="76"/>
      <c r="J148" s="77"/>
      <c r="K148" s="78"/>
      <c r="L148" s="79"/>
      <c r="M148" s="80"/>
      <c r="N148" s="80"/>
      <c r="O148" s="78"/>
      <c r="P148" s="81"/>
      <c r="Q148" s="96"/>
    </row>
    <row r="149" spans="1:17" customFormat="1">
      <c r="A149" s="36" t="str">
        <f>IF(TRIM(G149)&lt;&gt;"",COUNTA(G$7:$G149)&amp;"","")</f>
        <v>101</v>
      </c>
      <c r="B149" s="37"/>
      <c r="C149" s="6"/>
      <c r="D149" s="38"/>
      <c r="E149" s="43" t="s">
        <v>152</v>
      </c>
      <c r="F149" s="40">
        <v>4</v>
      </c>
      <c r="G149" s="44" t="s">
        <v>85</v>
      </c>
      <c r="H149" s="42">
        <v>0</v>
      </c>
      <c r="I149" s="76">
        <f t="shared" si="103"/>
        <v>4</v>
      </c>
      <c r="J149" s="77">
        <v>66.072720000000004</v>
      </c>
      <c r="K149" s="78">
        <f t="shared" ref="K149:K154" si="105">IF(F149=0,"",J149*I149)</f>
        <v>264.29088000000002</v>
      </c>
      <c r="L149" s="79">
        <v>93.171949999999995</v>
      </c>
      <c r="M149" s="84">
        <v>0.4</v>
      </c>
      <c r="N149" s="80">
        <f t="shared" ref="N149:N154" si="106">L149*M149</f>
        <v>37.26878</v>
      </c>
      <c r="O149" s="78">
        <f t="shared" ref="O149:O154" si="107">I149*N149</f>
        <v>149.07512</v>
      </c>
      <c r="P149" s="81">
        <f t="shared" ref="P149:P154" si="108">K149+O149</f>
        <v>413.36599999999999</v>
      </c>
      <c r="Q149" s="96"/>
    </row>
    <row r="150" spans="1:17" customFormat="1">
      <c r="A150" s="36" t="str">
        <f>IF(TRIM(G150)&lt;&gt;"",COUNTA(G$7:$G150)&amp;"","")</f>
        <v>102</v>
      </c>
      <c r="B150" s="37"/>
      <c r="C150" s="6"/>
      <c r="D150" s="38"/>
      <c r="E150" s="43" t="s">
        <v>153</v>
      </c>
      <c r="F150" s="40">
        <v>10</v>
      </c>
      <c r="G150" s="44" t="s">
        <v>85</v>
      </c>
      <c r="H150" s="42">
        <v>0</v>
      </c>
      <c r="I150" s="76">
        <f t="shared" si="103"/>
        <v>10</v>
      </c>
      <c r="J150" s="77">
        <v>11.725</v>
      </c>
      <c r="K150" s="78">
        <f t="shared" si="105"/>
        <v>117.25</v>
      </c>
      <c r="L150" s="79">
        <v>93.171949999999995</v>
      </c>
      <c r="M150" s="84">
        <v>0.16500000000000001</v>
      </c>
      <c r="N150" s="80">
        <f t="shared" si="106"/>
        <v>15.37337175</v>
      </c>
      <c r="O150" s="78">
        <f t="shared" si="107"/>
        <v>153.73371750000001</v>
      </c>
      <c r="P150" s="81">
        <f t="shared" si="108"/>
        <v>270.98371750000001</v>
      </c>
      <c r="Q150" s="96"/>
    </row>
    <row r="151" spans="1:17" customFormat="1">
      <c r="A151" s="36" t="str">
        <f>IF(TRIM(G151)&lt;&gt;"",COUNTA(G$7:$G151)&amp;"","")</f>
        <v>103</v>
      </c>
      <c r="B151" s="5"/>
      <c r="C151" s="6"/>
      <c r="D151" s="38"/>
      <c r="E151" s="45" t="s">
        <v>154</v>
      </c>
      <c r="F151" s="40">
        <v>1</v>
      </c>
      <c r="G151" s="44" t="s">
        <v>85</v>
      </c>
      <c r="H151" s="42">
        <v>0</v>
      </c>
      <c r="I151" s="76">
        <f t="shared" si="103"/>
        <v>1</v>
      </c>
      <c r="J151" s="77">
        <v>492.45</v>
      </c>
      <c r="K151" s="78">
        <f t="shared" si="105"/>
        <v>492.45</v>
      </c>
      <c r="L151" s="79">
        <v>93.171949999999995</v>
      </c>
      <c r="M151" s="84">
        <v>2.4209999999999998</v>
      </c>
      <c r="N151" s="80">
        <f t="shared" si="106"/>
        <v>225.56929095000001</v>
      </c>
      <c r="O151" s="78">
        <f t="shared" si="107"/>
        <v>225.56929095000001</v>
      </c>
      <c r="P151" s="81">
        <f t="shared" si="108"/>
        <v>718.01929095000003</v>
      </c>
      <c r="Q151" s="96"/>
    </row>
    <row r="152" spans="1:17" customFormat="1">
      <c r="A152" s="36" t="str">
        <f>IF(TRIM(G152)&lt;&gt;"",COUNTA(G$7:$G152)&amp;"","")</f>
        <v>104</v>
      </c>
      <c r="B152" s="5"/>
      <c r="C152" s="6"/>
      <c r="D152" s="38"/>
      <c r="E152" s="45" t="s">
        <v>155</v>
      </c>
      <c r="F152" s="40">
        <v>1</v>
      </c>
      <c r="G152" s="44" t="s">
        <v>85</v>
      </c>
      <c r="H152" s="42">
        <v>0</v>
      </c>
      <c r="I152" s="76">
        <f t="shared" si="103"/>
        <v>1</v>
      </c>
      <c r="J152" s="77">
        <v>342.37</v>
      </c>
      <c r="K152" s="78">
        <f t="shared" si="105"/>
        <v>342.37</v>
      </c>
      <c r="L152" s="79">
        <v>93.171949999999995</v>
      </c>
      <c r="M152" s="84">
        <v>1</v>
      </c>
      <c r="N152" s="80">
        <f t="shared" si="106"/>
        <v>93.171949999999995</v>
      </c>
      <c r="O152" s="78">
        <f t="shared" si="107"/>
        <v>93.171949999999995</v>
      </c>
      <c r="P152" s="81">
        <f t="shared" si="108"/>
        <v>435.54194999999999</v>
      </c>
      <c r="Q152" s="96"/>
    </row>
    <row r="153" spans="1:17" customFormat="1">
      <c r="A153" s="36" t="str">
        <f>IF(TRIM(G153)&lt;&gt;"",COUNTA(G$7:$G153)&amp;"","")</f>
        <v>105</v>
      </c>
      <c r="B153" s="37"/>
      <c r="C153" s="6"/>
      <c r="D153" s="38"/>
      <c r="E153" s="43" t="s">
        <v>156</v>
      </c>
      <c r="F153" s="40">
        <v>1</v>
      </c>
      <c r="G153" s="44" t="s">
        <v>85</v>
      </c>
      <c r="H153" s="42">
        <v>0</v>
      </c>
      <c r="I153" s="76">
        <f t="shared" si="103"/>
        <v>1</v>
      </c>
      <c r="J153" s="77">
        <v>326.42399999999998</v>
      </c>
      <c r="K153" s="78">
        <f t="shared" si="105"/>
        <v>326.42399999999998</v>
      </c>
      <c r="L153" s="79">
        <v>93.171949999999995</v>
      </c>
      <c r="M153" s="84">
        <v>1</v>
      </c>
      <c r="N153" s="80">
        <f t="shared" si="106"/>
        <v>93.171949999999995</v>
      </c>
      <c r="O153" s="78">
        <f t="shared" si="107"/>
        <v>93.171949999999995</v>
      </c>
      <c r="P153" s="81">
        <f t="shared" si="108"/>
        <v>419.59595000000002</v>
      </c>
      <c r="Q153" s="96"/>
    </row>
    <row r="154" spans="1:17" customFormat="1">
      <c r="A154" s="36" t="str">
        <f>IF(TRIM(G154)&lt;&gt;"",COUNTA(G$7:$G154)&amp;"","")</f>
        <v>106</v>
      </c>
      <c r="B154" s="37"/>
      <c r="C154" s="6"/>
      <c r="D154" s="38"/>
      <c r="E154" s="43" t="s">
        <v>157</v>
      </c>
      <c r="F154" s="40">
        <v>1</v>
      </c>
      <c r="G154" s="44" t="s">
        <v>85</v>
      </c>
      <c r="H154" s="42">
        <v>0</v>
      </c>
      <c r="I154" s="76">
        <f t="shared" si="103"/>
        <v>1</v>
      </c>
      <c r="J154" s="77">
        <v>492.45</v>
      </c>
      <c r="K154" s="78">
        <f t="shared" si="105"/>
        <v>492.45</v>
      </c>
      <c r="L154" s="79">
        <v>93.171949999999995</v>
      </c>
      <c r="M154" s="84">
        <v>2.4209999999999998</v>
      </c>
      <c r="N154" s="80">
        <f t="shared" si="106"/>
        <v>225.56929095000001</v>
      </c>
      <c r="O154" s="78">
        <f t="shared" si="107"/>
        <v>225.56929095000001</v>
      </c>
      <c r="P154" s="81">
        <f t="shared" si="108"/>
        <v>718.01929095000003</v>
      </c>
      <c r="Q154" s="96"/>
    </row>
    <row r="155" spans="1:17" customFormat="1">
      <c r="A155" s="36" t="str">
        <f>IF(TRIM(G155)&lt;&gt;"",COUNTA(G$7:$G155)&amp;"","")</f>
        <v/>
      </c>
      <c r="B155" s="99"/>
      <c r="C155" s="100"/>
      <c r="D155" s="38"/>
      <c r="E155" s="45"/>
      <c r="F155" s="40"/>
      <c r="G155" s="44"/>
      <c r="H155" s="42"/>
      <c r="I155" s="76"/>
      <c r="J155" s="77"/>
      <c r="K155" s="78"/>
      <c r="L155" s="79"/>
      <c r="M155" s="84"/>
      <c r="N155" s="80"/>
      <c r="O155" s="78"/>
      <c r="P155" s="81"/>
      <c r="Q155" s="96"/>
    </row>
    <row r="156" spans="1:17" s="7" customFormat="1" ht="19.2" customHeight="1">
      <c r="A156" s="36" t="str">
        <f>IF(TRIM(G156)&lt;&gt;"",COUNTA(G$7:$G156)&amp;"","")</f>
        <v/>
      </c>
      <c r="B156" s="37"/>
      <c r="C156" s="37"/>
      <c r="D156" s="38"/>
      <c r="E156" s="101" t="s">
        <v>158</v>
      </c>
      <c r="F156" s="40"/>
      <c r="G156" s="41"/>
      <c r="H156" s="42"/>
      <c r="I156" s="76"/>
      <c r="J156" s="77"/>
      <c r="K156" s="78"/>
      <c r="L156" s="79"/>
      <c r="M156" s="80"/>
      <c r="N156" s="80"/>
      <c r="O156" s="78"/>
      <c r="P156" s="81"/>
      <c r="Q156" s="96"/>
    </row>
    <row r="157" spans="1:17" customFormat="1">
      <c r="A157" s="36" t="str">
        <f>IF(TRIM(G157)&lt;&gt;"",COUNTA(G$7:$G157)&amp;"","")</f>
        <v>107</v>
      </c>
      <c r="B157" s="37"/>
      <c r="C157" s="6"/>
      <c r="D157" s="38"/>
      <c r="E157" s="43" t="s">
        <v>159</v>
      </c>
      <c r="F157" s="40">
        <v>2</v>
      </c>
      <c r="G157" s="44" t="s">
        <v>85</v>
      </c>
      <c r="H157" s="42">
        <v>0</v>
      </c>
      <c r="I157" s="76">
        <f t="shared" ref="I157:I159" si="109">IF(F157=0,"",F157+(F157*H157))</f>
        <v>2</v>
      </c>
      <c r="J157" s="77">
        <v>39.808720000000001</v>
      </c>
      <c r="K157" s="78">
        <f t="shared" ref="K157:K159" si="110">IF(F157=0,"",J157*I157)</f>
        <v>79.617440000000002</v>
      </c>
      <c r="L157" s="79">
        <v>93.171949999999995</v>
      </c>
      <c r="M157" s="84">
        <v>0.40500000000000003</v>
      </c>
      <c r="N157" s="80">
        <f t="shared" ref="N157:N159" si="111">L157*M157</f>
        <v>37.734639749999999</v>
      </c>
      <c r="O157" s="78">
        <f t="shared" ref="O157:O159" si="112">I157*N157</f>
        <v>75.469279499999999</v>
      </c>
      <c r="P157" s="81">
        <f t="shared" ref="P157:P159" si="113">K157+O157</f>
        <v>155.08671949999999</v>
      </c>
      <c r="Q157" s="96"/>
    </row>
    <row r="158" spans="1:17" customFormat="1">
      <c r="A158" s="36" t="str">
        <f>IF(TRIM(G158)&lt;&gt;"",COUNTA(G$7:$G158)&amp;"","")</f>
        <v>108</v>
      </c>
      <c r="B158" s="37"/>
      <c r="C158" s="6"/>
      <c r="D158" s="38"/>
      <c r="E158" s="43" t="s">
        <v>160</v>
      </c>
      <c r="F158" s="40">
        <v>1</v>
      </c>
      <c r="G158" s="44" t="s">
        <v>85</v>
      </c>
      <c r="H158" s="42">
        <v>0</v>
      </c>
      <c r="I158" s="76">
        <f t="shared" si="109"/>
        <v>1</v>
      </c>
      <c r="J158" s="77">
        <v>159.0848</v>
      </c>
      <c r="K158" s="78">
        <f t="shared" si="110"/>
        <v>159.0848</v>
      </c>
      <c r="L158" s="79">
        <v>93.171949999999995</v>
      </c>
      <c r="M158" s="84">
        <v>0.33300000000000002</v>
      </c>
      <c r="N158" s="80">
        <f t="shared" si="111"/>
        <v>31.02625935</v>
      </c>
      <c r="O158" s="78">
        <f t="shared" si="112"/>
        <v>31.02625935</v>
      </c>
      <c r="P158" s="81">
        <f t="shared" si="113"/>
        <v>190.11105935</v>
      </c>
      <c r="Q158" s="96"/>
    </row>
    <row r="159" spans="1:17" customFormat="1">
      <c r="A159" s="36" t="str">
        <f>IF(TRIM(G159)&lt;&gt;"",COUNTA(G$7:$G159)&amp;"","")</f>
        <v>109</v>
      </c>
      <c r="B159" s="5"/>
      <c r="C159" s="6"/>
      <c r="D159" s="38"/>
      <c r="E159" s="45" t="s">
        <v>161</v>
      </c>
      <c r="F159" s="40">
        <v>2</v>
      </c>
      <c r="G159" s="44" t="s">
        <v>85</v>
      </c>
      <c r="H159" s="42">
        <v>0</v>
      </c>
      <c r="I159" s="76">
        <f t="shared" si="109"/>
        <v>2</v>
      </c>
      <c r="J159" s="77">
        <v>53.40034</v>
      </c>
      <c r="K159" s="78">
        <f t="shared" si="110"/>
        <v>106.80068</v>
      </c>
      <c r="L159" s="79">
        <v>93.171949999999995</v>
      </c>
      <c r="M159" s="84">
        <v>0.26800000000000002</v>
      </c>
      <c r="N159" s="80">
        <f t="shared" si="111"/>
        <v>24.970082600000001</v>
      </c>
      <c r="O159" s="78">
        <f t="shared" si="112"/>
        <v>49.940165200000003</v>
      </c>
      <c r="P159" s="81">
        <f t="shared" si="113"/>
        <v>156.7408452</v>
      </c>
      <c r="Q159" s="96"/>
    </row>
    <row r="160" spans="1:17" customFormat="1">
      <c r="A160" s="36" t="str">
        <f>IF(TRIM(G160)&lt;&gt;"",COUNTA(G$7:$G160)&amp;"","")</f>
        <v/>
      </c>
      <c r="B160" s="5"/>
      <c r="C160" s="6"/>
      <c r="D160" s="38"/>
      <c r="E160" s="45"/>
      <c r="F160" s="40"/>
      <c r="G160" s="41"/>
      <c r="H160" s="42"/>
      <c r="I160" s="76"/>
      <c r="J160" s="77"/>
      <c r="K160" s="78"/>
      <c r="L160" s="79"/>
      <c r="M160" s="84"/>
      <c r="N160" s="80"/>
      <c r="O160" s="78"/>
      <c r="P160" s="81"/>
      <c r="Q160" s="96"/>
    </row>
    <row r="161" spans="1:17" s="8" customFormat="1" ht="15.6">
      <c r="A161" s="36" t="str">
        <f>IF(TRIM(G161)&lt;&gt;"",COUNTA(G$7:$G161)&amp;"","")</f>
        <v/>
      </c>
      <c r="B161" s="48"/>
      <c r="C161" s="48"/>
      <c r="D161" s="49"/>
      <c r="E161" s="50"/>
      <c r="F161" s="51"/>
      <c r="G161" s="52"/>
      <c r="H161" s="53" t="s">
        <v>93</v>
      </c>
      <c r="I161" s="85"/>
      <c r="J161" s="86">
        <f>SUM(K148:K160)</f>
        <v>2380.7377999999999</v>
      </c>
      <c r="K161" s="263" t="s">
        <v>94</v>
      </c>
      <c r="L161" s="264"/>
      <c r="M161" s="87">
        <f>SUM(O148:O160)</f>
        <v>1096.7270234499999</v>
      </c>
      <c r="N161" s="263"/>
      <c r="O161" s="264"/>
      <c r="P161" s="88"/>
      <c r="Q161" s="97">
        <f>SUM(P148:P160)</f>
        <v>3477.46482345</v>
      </c>
    </row>
    <row r="162" spans="1:17">
      <c r="A162" s="54" t="str">
        <f>IF(TRIM(G162)&lt;&gt;"",COUNTA(G$7:$G162)&amp;"","")</f>
        <v/>
      </c>
      <c r="B162" s="6"/>
      <c r="C162" s="6"/>
      <c r="D162" s="55"/>
      <c r="E162" s="56"/>
      <c r="F162" s="40"/>
      <c r="G162" s="41"/>
      <c r="H162" s="42" t="str">
        <f>IF(F162=0,"",0)</f>
        <v/>
      </c>
      <c r="I162" s="76" t="str">
        <f t="shared" ref="I162:I177" si="114">IF(F162=0,"",F162+(F162*H162))</f>
        <v/>
      </c>
      <c r="J162" s="77" t="str">
        <f>IF(F162=0,"",0)</f>
        <v/>
      </c>
      <c r="K162" s="78" t="str">
        <f t="shared" ref="K162" si="115">IF(F162=0,"",J162*I162)</f>
        <v/>
      </c>
      <c r="L162" s="79" t="str">
        <f>IF(F162=0,"",#REF!)</f>
        <v/>
      </c>
      <c r="M162" s="80" t="str">
        <f>IF(F162=0,"",0)</f>
        <v/>
      </c>
      <c r="N162" s="80" t="str">
        <f>IF(F162=0,"",M162*I162)</f>
        <v/>
      </c>
      <c r="O162" s="78" t="str">
        <f>IF(F162=0,"",N162*L162)</f>
        <v/>
      </c>
      <c r="P162" s="81" t="str">
        <f>IF(F162=0,"",K162+O162)</f>
        <v/>
      </c>
      <c r="Q162" s="96"/>
    </row>
    <row r="163" spans="1:17" ht="20.100000000000001" customHeight="1">
      <c r="A163" s="29" t="str">
        <f>IF(TRIM(G163)&lt;&gt;"",COUNTA(G$7:$G163)&amp;"","")</f>
        <v/>
      </c>
      <c r="B163" s="30"/>
      <c r="C163" s="31" t="s">
        <v>1</v>
      </c>
      <c r="D163" s="32" t="s">
        <v>162</v>
      </c>
      <c r="E163" s="33" t="s">
        <v>163</v>
      </c>
      <c r="F163" s="34"/>
      <c r="G163" s="35"/>
      <c r="H163" s="30"/>
      <c r="I163" s="74"/>
      <c r="J163" s="30"/>
      <c r="K163" s="30"/>
      <c r="L163" s="30"/>
      <c r="M163" s="75"/>
      <c r="N163" s="30"/>
      <c r="O163" s="30"/>
      <c r="P163" s="30"/>
      <c r="Q163" s="95"/>
    </row>
    <row r="164" spans="1:17" s="7" customFormat="1" ht="19.2" customHeight="1">
      <c r="A164" s="36" t="str">
        <f>IF(TRIM(G164)&lt;&gt;"",COUNTA(G$7:$G164)&amp;"","")</f>
        <v/>
      </c>
      <c r="B164" s="37"/>
      <c r="C164" s="37"/>
      <c r="D164" s="38"/>
      <c r="E164" s="39" t="s">
        <v>163</v>
      </c>
      <c r="F164" s="40"/>
      <c r="G164" s="41"/>
      <c r="H164" s="42"/>
      <c r="I164" s="76"/>
      <c r="J164" s="77"/>
      <c r="K164" s="78"/>
      <c r="L164" s="79"/>
      <c r="M164" s="80"/>
      <c r="N164" s="80"/>
      <c r="O164" s="78"/>
      <c r="P164" s="81"/>
      <c r="Q164" s="96"/>
    </row>
    <row r="165" spans="1:17" customFormat="1">
      <c r="A165" s="36" t="str">
        <f>IF(TRIM(G165)&lt;&gt;"",COUNTA(G$7:$G165)&amp;"","")</f>
        <v>110</v>
      </c>
      <c r="B165" s="37"/>
      <c r="C165" s="6"/>
      <c r="D165" s="38"/>
      <c r="E165" s="43" t="s">
        <v>164</v>
      </c>
      <c r="F165" s="40">
        <v>2</v>
      </c>
      <c r="G165" s="44" t="s">
        <v>85</v>
      </c>
      <c r="H165" s="42">
        <v>0</v>
      </c>
      <c r="I165" s="76">
        <f t="shared" si="114"/>
        <v>2</v>
      </c>
      <c r="J165" s="77">
        <v>1106.8399999999999</v>
      </c>
      <c r="K165" s="78">
        <f t="shared" ref="K165:K206" si="116">IF(F165=0,"",J165*I165)</f>
        <v>2213.6799999999998</v>
      </c>
      <c r="L165" s="79">
        <v>107.4589</v>
      </c>
      <c r="M165" s="84">
        <v>5</v>
      </c>
      <c r="N165" s="80">
        <f t="shared" ref="N165:N206" si="117">L165*M165</f>
        <v>537.29449999999997</v>
      </c>
      <c r="O165" s="78">
        <f t="shared" ref="O165:O206" si="118">I165*N165</f>
        <v>1074.5889999999999</v>
      </c>
      <c r="P165" s="81">
        <f t="shared" ref="P165:P206" si="119">K165+O165</f>
        <v>3288.2689999999998</v>
      </c>
      <c r="Q165" s="96"/>
    </row>
    <row r="166" spans="1:17" customFormat="1">
      <c r="A166" s="36" t="str">
        <f>IF(TRIM(G166)&lt;&gt;"",COUNTA(G$7:$G166)&amp;"","")</f>
        <v>111</v>
      </c>
      <c r="B166" s="37"/>
      <c r="C166" s="6"/>
      <c r="D166" s="38"/>
      <c r="E166" s="43" t="s">
        <v>165</v>
      </c>
      <c r="F166" s="40">
        <v>1</v>
      </c>
      <c r="G166" s="44" t="s">
        <v>85</v>
      </c>
      <c r="H166" s="42">
        <v>0</v>
      </c>
      <c r="I166" s="76">
        <f t="shared" si="114"/>
        <v>1</v>
      </c>
      <c r="J166" s="77">
        <v>1092.77</v>
      </c>
      <c r="K166" s="78">
        <f t="shared" si="116"/>
        <v>1092.77</v>
      </c>
      <c r="L166" s="79">
        <v>93.171949999999995</v>
      </c>
      <c r="M166" s="84">
        <v>1.1200000000000001</v>
      </c>
      <c r="N166" s="80">
        <f t="shared" si="117"/>
        <v>104.35258399999999</v>
      </c>
      <c r="O166" s="78">
        <f t="shared" si="118"/>
        <v>104.35258399999999</v>
      </c>
      <c r="P166" s="81">
        <f t="shared" si="119"/>
        <v>1197.122584</v>
      </c>
      <c r="Q166" s="96"/>
    </row>
    <row r="167" spans="1:17" customFormat="1">
      <c r="A167" s="36" t="str">
        <f>IF(TRIM(G167)&lt;&gt;"",COUNTA(G$7:$G167)&amp;"","")</f>
        <v>112</v>
      </c>
      <c r="B167" s="5"/>
      <c r="C167" s="6"/>
      <c r="D167" s="38"/>
      <c r="E167" s="45" t="s">
        <v>166</v>
      </c>
      <c r="F167" s="40">
        <v>2</v>
      </c>
      <c r="G167" s="44" t="s">
        <v>85</v>
      </c>
      <c r="H167" s="42">
        <v>0</v>
      </c>
      <c r="I167" s="76">
        <f t="shared" si="114"/>
        <v>2</v>
      </c>
      <c r="J167" s="77">
        <v>415.53399999999999</v>
      </c>
      <c r="K167" s="78">
        <f t="shared" si="116"/>
        <v>831.06799999999998</v>
      </c>
      <c r="L167" s="79">
        <v>93.171949999999995</v>
      </c>
      <c r="M167" s="84">
        <v>1.85</v>
      </c>
      <c r="N167" s="80">
        <f t="shared" si="117"/>
        <v>172.36810750000001</v>
      </c>
      <c r="O167" s="78">
        <f t="shared" si="118"/>
        <v>344.73621500000002</v>
      </c>
      <c r="P167" s="81">
        <f t="shared" si="119"/>
        <v>1175.8042150000001</v>
      </c>
      <c r="Q167" s="96"/>
    </row>
    <row r="168" spans="1:17" customFormat="1">
      <c r="A168" s="36" t="str">
        <f>IF(TRIM(G168)&lt;&gt;"",COUNTA(G$7:$G168)&amp;"","")</f>
        <v>113</v>
      </c>
      <c r="B168" s="37"/>
      <c r="C168" s="6"/>
      <c r="D168" s="38"/>
      <c r="E168" s="43" t="s">
        <v>167</v>
      </c>
      <c r="F168" s="40">
        <v>4</v>
      </c>
      <c r="G168" s="44" t="s">
        <v>85</v>
      </c>
      <c r="H168" s="42">
        <v>0</v>
      </c>
      <c r="I168" s="76">
        <f t="shared" si="114"/>
        <v>4</v>
      </c>
      <c r="J168" s="77">
        <v>36.694560000000003</v>
      </c>
      <c r="K168" s="78">
        <f t="shared" si="116"/>
        <v>146.77824000000001</v>
      </c>
      <c r="L168" s="79">
        <v>73.801299999999998</v>
      </c>
      <c r="M168" s="84">
        <v>0.215</v>
      </c>
      <c r="N168" s="80">
        <f t="shared" si="117"/>
        <v>15.8672795</v>
      </c>
      <c r="O168" s="78">
        <f t="shared" si="118"/>
        <v>63.469118000000002</v>
      </c>
      <c r="P168" s="81">
        <f t="shared" si="119"/>
        <v>210.24735799999999</v>
      </c>
      <c r="Q168" s="96"/>
    </row>
    <row r="169" spans="1:17" customFormat="1">
      <c r="A169" s="36" t="str">
        <f>IF(TRIM(G169)&lt;&gt;"",COUNTA(G$7:$G169)&amp;"","")</f>
        <v>114</v>
      </c>
      <c r="B169" s="37"/>
      <c r="C169" s="6"/>
      <c r="D169" s="38"/>
      <c r="E169" s="43" t="s">
        <v>168</v>
      </c>
      <c r="F169" s="40">
        <v>1</v>
      </c>
      <c r="G169" s="44" t="s">
        <v>85</v>
      </c>
      <c r="H169" s="42">
        <v>0</v>
      </c>
      <c r="I169" s="76">
        <f t="shared" si="114"/>
        <v>1</v>
      </c>
      <c r="J169" s="77">
        <v>3010.98</v>
      </c>
      <c r="K169" s="78">
        <f t="shared" si="116"/>
        <v>3010.98</v>
      </c>
      <c r="L169" s="79">
        <v>73.801299999999998</v>
      </c>
      <c r="M169" s="84">
        <v>2.4550000000000001</v>
      </c>
      <c r="N169" s="80">
        <f t="shared" si="117"/>
        <v>181.18219149999999</v>
      </c>
      <c r="O169" s="78">
        <f t="shared" si="118"/>
        <v>181.18219149999999</v>
      </c>
      <c r="P169" s="81">
        <f t="shared" si="119"/>
        <v>3192.1621915000001</v>
      </c>
      <c r="Q169" s="96"/>
    </row>
    <row r="170" spans="1:17" customFormat="1">
      <c r="A170" s="36" t="str">
        <f>IF(TRIM(G170)&lt;&gt;"",COUNTA(G$7:$G170)&amp;"","")</f>
        <v>115</v>
      </c>
      <c r="B170" s="37"/>
      <c r="C170" s="6"/>
      <c r="D170" s="38"/>
      <c r="E170" s="43" t="s">
        <v>169</v>
      </c>
      <c r="F170" s="40">
        <v>1</v>
      </c>
      <c r="G170" s="44" t="s">
        <v>85</v>
      </c>
      <c r="H170" s="42">
        <v>0</v>
      </c>
      <c r="I170" s="76">
        <f t="shared" si="114"/>
        <v>1</v>
      </c>
      <c r="J170" s="77">
        <v>2270.8980000000001</v>
      </c>
      <c r="K170" s="78">
        <f t="shared" si="116"/>
        <v>2270.8980000000001</v>
      </c>
      <c r="L170" s="79">
        <v>73.801299999999998</v>
      </c>
      <c r="M170" s="84">
        <v>3.9049999999999998</v>
      </c>
      <c r="N170" s="80">
        <f t="shared" si="117"/>
        <v>288.19407649999999</v>
      </c>
      <c r="O170" s="78">
        <f t="shared" si="118"/>
        <v>288.19407649999999</v>
      </c>
      <c r="P170" s="81">
        <f t="shared" si="119"/>
        <v>2559.0920765000001</v>
      </c>
      <c r="Q170" s="96"/>
    </row>
    <row r="171" spans="1:17" customFormat="1">
      <c r="A171" s="36" t="str">
        <f>IF(TRIM(G171)&lt;&gt;"",COUNTA(G$7:$G171)&amp;"","")</f>
        <v>116</v>
      </c>
      <c r="B171" s="37"/>
      <c r="C171" s="6"/>
      <c r="D171" s="38"/>
      <c r="E171" s="43" t="s">
        <v>170</v>
      </c>
      <c r="F171" s="40">
        <v>1</v>
      </c>
      <c r="G171" s="44" t="s">
        <v>85</v>
      </c>
      <c r="H171" s="42">
        <v>0</v>
      </c>
      <c r="I171" s="76">
        <f t="shared" si="114"/>
        <v>1</v>
      </c>
      <c r="J171" s="77">
        <v>942.69</v>
      </c>
      <c r="K171" s="78">
        <f t="shared" si="116"/>
        <v>942.69</v>
      </c>
      <c r="L171" s="79">
        <v>93.171949999999995</v>
      </c>
      <c r="M171" s="84">
        <v>2</v>
      </c>
      <c r="N171" s="80">
        <f t="shared" si="117"/>
        <v>186.34389999999999</v>
      </c>
      <c r="O171" s="78">
        <f t="shared" si="118"/>
        <v>186.34389999999999</v>
      </c>
      <c r="P171" s="81">
        <f t="shared" si="119"/>
        <v>1129.0338999999999</v>
      </c>
      <c r="Q171" s="96"/>
    </row>
    <row r="172" spans="1:17" customFormat="1">
      <c r="A172" s="36" t="str">
        <f>IF(TRIM(G172)&lt;&gt;"",COUNTA(G$7:$G172)&amp;"","")</f>
        <v>117</v>
      </c>
      <c r="B172" s="37"/>
      <c r="C172" s="6"/>
      <c r="D172" s="38"/>
      <c r="E172" s="43" t="s">
        <v>171</v>
      </c>
      <c r="F172" s="40">
        <v>1</v>
      </c>
      <c r="G172" s="44" t="s">
        <v>85</v>
      </c>
      <c r="H172" s="42">
        <v>0</v>
      </c>
      <c r="I172" s="76">
        <f t="shared" si="114"/>
        <v>1</v>
      </c>
      <c r="J172" s="77">
        <v>1046.808</v>
      </c>
      <c r="K172" s="78">
        <f t="shared" si="116"/>
        <v>1046.808</v>
      </c>
      <c r="L172" s="79">
        <v>101.67400000000001</v>
      </c>
      <c r="M172" s="84">
        <v>2.9980000000000002</v>
      </c>
      <c r="N172" s="80">
        <f t="shared" si="117"/>
        <v>304.81865199999999</v>
      </c>
      <c r="O172" s="78">
        <f t="shared" si="118"/>
        <v>304.81865199999999</v>
      </c>
      <c r="P172" s="81">
        <f t="shared" si="119"/>
        <v>1351.6266519999999</v>
      </c>
      <c r="Q172" s="96"/>
    </row>
    <row r="173" spans="1:17" customFormat="1">
      <c r="A173" s="36" t="str">
        <f>IF(TRIM(G173)&lt;&gt;"",COUNTA(G$7:$G173)&amp;"","")</f>
        <v>118</v>
      </c>
      <c r="B173" s="5"/>
      <c r="C173" s="6"/>
      <c r="D173" s="38"/>
      <c r="E173" s="45" t="s">
        <v>172</v>
      </c>
      <c r="F173" s="40">
        <v>2</v>
      </c>
      <c r="G173" s="44" t="s">
        <v>85</v>
      </c>
      <c r="H173" s="42">
        <v>0</v>
      </c>
      <c r="I173" s="76">
        <f t="shared" si="114"/>
        <v>2</v>
      </c>
      <c r="J173" s="77">
        <v>66.485439999999997</v>
      </c>
      <c r="K173" s="78">
        <f t="shared" si="116"/>
        <v>132.97087999999999</v>
      </c>
      <c r="L173" s="79">
        <v>101.67400000000001</v>
      </c>
      <c r="M173" s="84">
        <v>0.56499999999999995</v>
      </c>
      <c r="N173" s="80">
        <f t="shared" si="117"/>
        <v>57.445810000000002</v>
      </c>
      <c r="O173" s="78">
        <f t="shared" si="118"/>
        <v>114.89162</v>
      </c>
      <c r="P173" s="81">
        <f t="shared" si="119"/>
        <v>247.86250000000001</v>
      </c>
      <c r="Q173" s="96"/>
    </row>
    <row r="174" spans="1:17" customFormat="1" ht="15.9" customHeight="1">
      <c r="A174" s="36" t="str">
        <f>IF(TRIM(G174)&lt;&gt;"",COUNTA(G$7:$G174)&amp;"","")</f>
        <v>119</v>
      </c>
      <c r="B174" s="37"/>
      <c r="C174" s="6"/>
      <c r="D174" s="38"/>
      <c r="E174" s="43" t="s">
        <v>173</v>
      </c>
      <c r="F174" s="40">
        <v>1</v>
      </c>
      <c r="G174" s="44" t="s">
        <v>85</v>
      </c>
      <c r="H174" s="42">
        <v>0</v>
      </c>
      <c r="I174" s="76">
        <f t="shared" si="114"/>
        <v>1</v>
      </c>
      <c r="J174" s="77">
        <v>7532.14</v>
      </c>
      <c r="K174" s="78">
        <f t="shared" si="116"/>
        <v>7532.14</v>
      </c>
      <c r="L174" s="79">
        <v>101.67400000000001</v>
      </c>
      <c r="M174" s="84">
        <v>5.4210000000000003</v>
      </c>
      <c r="N174" s="80">
        <f t="shared" si="117"/>
        <v>551.17475400000001</v>
      </c>
      <c r="O174" s="78">
        <f t="shared" si="118"/>
        <v>551.17475400000001</v>
      </c>
      <c r="P174" s="81">
        <f t="shared" si="119"/>
        <v>8083.314754</v>
      </c>
      <c r="Q174" s="96"/>
    </row>
    <row r="175" spans="1:17" customFormat="1">
      <c r="A175" s="36" t="str">
        <f>IF(TRIM(G175)&lt;&gt;"",COUNTA(G$7:$G175)&amp;"","")</f>
        <v>120</v>
      </c>
      <c r="B175" s="37"/>
      <c r="C175" s="6"/>
      <c r="D175" s="38"/>
      <c r="E175" s="43" t="s">
        <v>174</v>
      </c>
      <c r="F175" s="40">
        <v>1</v>
      </c>
      <c r="G175" s="44" t="s">
        <v>85</v>
      </c>
      <c r="H175" s="42">
        <v>0</v>
      </c>
      <c r="I175" s="76">
        <f t="shared" si="114"/>
        <v>1</v>
      </c>
      <c r="J175" s="77">
        <v>1735.3</v>
      </c>
      <c r="K175" s="78">
        <f t="shared" si="116"/>
        <v>1735.3</v>
      </c>
      <c r="L175" s="79">
        <v>101.06045</v>
      </c>
      <c r="M175" s="84">
        <v>6.875</v>
      </c>
      <c r="N175" s="80">
        <f t="shared" si="117"/>
        <v>694.79059374999997</v>
      </c>
      <c r="O175" s="78">
        <f t="shared" si="118"/>
        <v>694.79059374999997</v>
      </c>
      <c r="P175" s="81">
        <f t="shared" si="119"/>
        <v>2430.0905937500002</v>
      </c>
      <c r="Q175" s="96"/>
    </row>
    <row r="176" spans="1:17" customFormat="1">
      <c r="A176" s="36" t="str">
        <f>IF(TRIM(G176)&lt;&gt;"",COUNTA(G$7:$G176)&amp;"","")</f>
        <v>121</v>
      </c>
      <c r="B176" s="37"/>
      <c r="C176" s="6"/>
      <c r="D176" s="38"/>
      <c r="E176" s="43" t="s">
        <v>175</v>
      </c>
      <c r="F176" s="40">
        <v>1</v>
      </c>
      <c r="G176" s="44" t="s">
        <v>85</v>
      </c>
      <c r="H176" s="42">
        <v>0</v>
      </c>
      <c r="I176" s="76">
        <f t="shared" si="114"/>
        <v>1</v>
      </c>
      <c r="J176" s="77">
        <v>533.44060000000002</v>
      </c>
      <c r="K176" s="78">
        <f t="shared" si="116"/>
        <v>533.44060000000002</v>
      </c>
      <c r="L176" s="79">
        <v>101.67400000000001</v>
      </c>
      <c r="M176" s="84">
        <v>2.12</v>
      </c>
      <c r="N176" s="80">
        <f t="shared" si="117"/>
        <v>215.54888</v>
      </c>
      <c r="O176" s="78">
        <f t="shared" si="118"/>
        <v>215.54888</v>
      </c>
      <c r="P176" s="81">
        <f t="shared" si="119"/>
        <v>748.98947999999996</v>
      </c>
      <c r="Q176" s="96"/>
    </row>
    <row r="177" spans="1:17" customFormat="1">
      <c r="A177" s="36" t="str">
        <f>IF(TRIM(G177)&lt;&gt;"",COUNTA(G$7:$G177)&amp;"","")</f>
        <v>122</v>
      </c>
      <c r="B177" s="37"/>
      <c r="C177" s="6"/>
      <c r="D177" s="38"/>
      <c r="E177" s="43" t="s">
        <v>176</v>
      </c>
      <c r="F177" s="40">
        <v>1</v>
      </c>
      <c r="G177" s="44" t="s">
        <v>85</v>
      </c>
      <c r="H177" s="42">
        <v>0</v>
      </c>
      <c r="I177" s="76">
        <f t="shared" si="114"/>
        <v>1</v>
      </c>
      <c r="J177" s="77">
        <v>637.84</v>
      </c>
      <c r="K177" s="78">
        <f t="shared" si="116"/>
        <v>637.84</v>
      </c>
      <c r="L177" s="79">
        <v>93.171949999999995</v>
      </c>
      <c r="M177" s="84">
        <v>1.1200000000000001</v>
      </c>
      <c r="N177" s="80">
        <f t="shared" si="117"/>
        <v>104.35258399999999</v>
      </c>
      <c r="O177" s="78">
        <f t="shared" si="118"/>
        <v>104.35258399999999</v>
      </c>
      <c r="P177" s="81">
        <f t="shared" si="119"/>
        <v>742.19258400000001</v>
      </c>
      <c r="Q177" s="96"/>
    </row>
    <row r="178" spans="1:17" customFormat="1">
      <c r="A178" s="36" t="str">
        <f>IF(TRIM(G178)&lt;&gt;"",COUNTA(G$7:$G178)&amp;"","")</f>
        <v>123</v>
      </c>
      <c r="B178" s="37"/>
      <c r="C178" s="6"/>
      <c r="D178" s="38"/>
      <c r="E178" s="43" t="s">
        <v>177</v>
      </c>
      <c r="F178" s="40">
        <v>1</v>
      </c>
      <c r="G178" s="44" t="s">
        <v>85</v>
      </c>
      <c r="H178" s="42">
        <v>0</v>
      </c>
      <c r="I178" s="76">
        <f t="shared" ref="I178:I195" si="120">IF(F178=0,"",F178+(F178*H178))</f>
        <v>1</v>
      </c>
      <c r="J178" s="77">
        <v>105.2436</v>
      </c>
      <c r="K178" s="78">
        <f t="shared" si="116"/>
        <v>105.2436</v>
      </c>
      <c r="L178" s="79">
        <v>93.171949999999995</v>
      </c>
      <c r="M178" s="84">
        <v>0.46200000000000002</v>
      </c>
      <c r="N178" s="80">
        <f t="shared" si="117"/>
        <v>43.045440900000003</v>
      </c>
      <c r="O178" s="78">
        <f t="shared" si="118"/>
        <v>43.045440900000003</v>
      </c>
      <c r="P178" s="81">
        <f t="shared" si="119"/>
        <v>148.2890409</v>
      </c>
      <c r="Q178" s="96"/>
    </row>
    <row r="179" spans="1:17" customFormat="1">
      <c r="A179" s="36" t="str">
        <f>IF(TRIM(G179)&lt;&gt;"",COUNTA(G$7:$G179)&amp;"","")</f>
        <v>124</v>
      </c>
      <c r="B179" s="37"/>
      <c r="C179" s="6"/>
      <c r="D179" s="38"/>
      <c r="E179" s="43" t="s">
        <v>178</v>
      </c>
      <c r="F179" s="40">
        <v>1</v>
      </c>
      <c r="G179" s="44" t="s">
        <v>85</v>
      </c>
      <c r="H179" s="42">
        <v>0</v>
      </c>
      <c r="I179" s="76">
        <f t="shared" si="120"/>
        <v>1</v>
      </c>
      <c r="J179" s="77">
        <v>491.96224000000001</v>
      </c>
      <c r="K179" s="78">
        <f t="shared" si="116"/>
        <v>491.96224000000001</v>
      </c>
      <c r="L179" s="79">
        <v>93.171949999999995</v>
      </c>
      <c r="M179" s="84">
        <v>0.8</v>
      </c>
      <c r="N179" s="80">
        <f t="shared" si="117"/>
        <v>74.537559999999999</v>
      </c>
      <c r="O179" s="78">
        <f t="shared" si="118"/>
        <v>74.537559999999999</v>
      </c>
      <c r="P179" s="81">
        <f t="shared" si="119"/>
        <v>566.49980000000005</v>
      </c>
      <c r="Q179" s="96"/>
    </row>
    <row r="180" spans="1:17" customFormat="1">
      <c r="A180" s="36" t="str">
        <f>IF(TRIM(G180)&lt;&gt;"",COUNTA(G$7:$G180)&amp;"","")</f>
        <v>125</v>
      </c>
      <c r="B180" s="5"/>
      <c r="C180" s="6"/>
      <c r="D180" s="38"/>
      <c r="E180" s="45" t="s">
        <v>179</v>
      </c>
      <c r="F180" s="40">
        <v>2</v>
      </c>
      <c r="G180" s="44" t="s">
        <v>85</v>
      </c>
      <c r="H180" s="42">
        <v>0</v>
      </c>
      <c r="I180" s="76">
        <f t="shared" si="120"/>
        <v>2</v>
      </c>
      <c r="J180" s="77">
        <v>8111.8239999999996</v>
      </c>
      <c r="K180" s="78">
        <f t="shared" si="116"/>
        <v>16223.647999999999</v>
      </c>
      <c r="L180" s="79">
        <v>73.801299999999998</v>
      </c>
      <c r="M180" s="84">
        <v>6.7850000000000001</v>
      </c>
      <c r="N180" s="80">
        <f t="shared" si="117"/>
        <v>500.74182050000002</v>
      </c>
      <c r="O180" s="78">
        <f t="shared" si="118"/>
        <v>1001.483641</v>
      </c>
      <c r="P180" s="81">
        <f t="shared" si="119"/>
        <v>17225.131641</v>
      </c>
      <c r="Q180" s="96"/>
    </row>
    <row r="181" spans="1:17" customFormat="1">
      <c r="A181" s="36" t="str">
        <f>IF(TRIM(G181)&lt;&gt;"",COUNTA(G$7:$G181)&amp;"","")</f>
        <v>126</v>
      </c>
      <c r="B181" s="37"/>
      <c r="C181" s="6"/>
      <c r="D181" s="38"/>
      <c r="E181" s="43" t="s">
        <v>180</v>
      </c>
      <c r="F181" s="40">
        <v>1</v>
      </c>
      <c r="G181" s="44" t="s">
        <v>85</v>
      </c>
      <c r="H181" s="42">
        <v>0</v>
      </c>
      <c r="I181" s="76">
        <f t="shared" si="120"/>
        <v>1</v>
      </c>
      <c r="J181" s="77">
        <v>3561.5859999999998</v>
      </c>
      <c r="K181" s="78">
        <f t="shared" si="116"/>
        <v>3561.5859999999998</v>
      </c>
      <c r="L181" s="79">
        <v>73.801299999999998</v>
      </c>
      <c r="M181" s="84">
        <v>4.4210000000000003</v>
      </c>
      <c r="N181" s="80">
        <f t="shared" si="117"/>
        <v>326.27554730000003</v>
      </c>
      <c r="O181" s="78">
        <f t="shared" si="118"/>
        <v>326.27554730000003</v>
      </c>
      <c r="P181" s="81">
        <f t="shared" si="119"/>
        <v>3887.8615473</v>
      </c>
      <c r="Q181" s="96"/>
    </row>
    <row r="182" spans="1:17" customFormat="1" ht="28.8">
      <c r="A182" s="36" t="str">
        <f>IF(TRIM(G182)&lt;&gt;"",COUNTA(G$7:$G182)&amp;"","")</f>
        <v>127</v>
      </c>
      <c r="B182" s="37"/>
      <c r="C182" s="6"/>
      <c r="D182" s="38"/>
      <c r="E182" s="43" t="s">
        <v>181</v>
      </c>
      <c r="F182" s="40">
        <v>4</v>
      </c>
      <c r="G182" s="44" t="s">
        <v>85</v>
      </c>
      <c r="H182" s="42">
        <v>0</v>
      </c>
      <c r="I182" s="76">
        <f t="shared" si="120"/>
        <v>4</v>
      </c>
      <c r="J182" s="77">
        <v>22163.063999999998</v>
      </c>
      <c r="K182" s="78">
        <f t="shared" si="116"/>
        <v>88652.255999999994</v>
      </c>
      <c r="L182" s="79">
        <v>101.67400000000001</v>
      </c>
      <c r="M182" s="84">
        <v>8</v>
      </c>
      <c r="N182" s="80">
        <f t="shared" si="117"/>
        <v>813.39200000000005</v>
      </c>
      <c r="O182" s="78">
        <f t="shared" si="118"/>
        <v>3253.5680000000002</v>
      </c>
      <c r="P182" s="81">
        <f t="shared" si="119"/>
        <v>91905.823999999993</v>
      </c>
      <c r="Q182" s="96"/>
    </row>
    <row r="183" spans="1:17" customFormat="1" ht="17.100000000000001" customHeight="1">
      <c r="A183" s="36" t="str">
        <f>IF(TRIM(G183)&lt;&gt;"",COUNTA(G$7:$G183)&amp;"","")</f>
        <v>128</v>
      </c>
      <c r="B183" s="37"/>
      <c r="C183" s="6"/>
      <c r="D183" s="38"/>
      <c r="E183" s="43" t="s">
        <v>182</v>
      </c>
      <c r="F183" s="40">
        <v>2</v>
      </c>
      <c r="G183" s="44" t="s">
        <v>85</v>
      </c>
      <c r="H183" s="42">
        <v>0</v>
      </c>
      <c r="I183" s="76">
        <f t="shared" si="120"/>
        <v>2</v>
      </c>
      <c r="J183" s="77">
        <v>4708.76</v>
      </c>
      <c r="K183" s="78">
        <f t="shared" si="116"/>
        <v>9417.52</v>
      </c>
      <c r="L183" s="79">
        <v>101.67400000000001</v>
      </c>
      <c r="M183" s="84">
        <v>4.12</v>
      </c>
      <c r="N183" s="80">
        <f t="shared" si="117"/>
        <v>418.89688000000001</v>
      </c>
      <c r="O183" s="78">
        <f t="shared" si="118"/>
        <v>837.79376000000002</v>
      </c>
      <c r="P183" s="81">
        <f t="shared" si="119"/>
        <v>10255.313759999999</v>
      </c>
      <c r="Q183" s="96"/>
    </row>
    <row r="184" spans="1:17" customFormat="1">
      <c r="A184" s="36" t="str">
        <f>IF(TRIM(G184)&lt;&gt;"",COUNTA(G$7:$G184)&amp;"","")</f>
        <v>129</v>
      </c>
      <c r="B184" s="37"/>
      <c r="C184" s="6"/>
      <c r="D184" s="38"/>
      <c r="E184" s="43" t="s">
        <v>183</v>
      </c>
      <c r="F184" s="40">
        <v>1</v>
      </c>
      <c r="G184" s="44" t="s">
        <v>85</v>
      </c>
      <c r="H184" s="42">
        <v>0</v>
      </c>
      <c r="I184" s="76">
        <f t="shared" si="120"/>
        <v>1</v>
      </c>
      <c r="J184" s="77">
        <v>234.49062000000001</v>
      </c>
      <c r="K184" s="78">
        <f t="shared" si="116"/>
        <v>234.49062000000001</v>
      </c>
      <c r="L184" s="79">
        <v>93.171949999999995</v>
      </c>
      <c r="M184" s="84">
        <v>1.1399999999999999</v>
      </c>
      <c r="N184" s="80">
        <f t="shared" si="117"/>
        <v>106.21602300000001</v>
      </c>
      <c r="O184" s="78">
        <f t="shared" si="118"/>
        <v>106.21602300000001</v>
      </c>
      <c r="P184" s="81">
        <f t="shared" si="119"/>
        <v>340.70664299999999</v>
      </c>
      <c r="Q184" s="96"/>
    </row>
    <row r="185" spans="1:17" customFormat="1">
      <c r="A185" s="36" t="str">
        <f>IF(TRIM(G185)&lt;&gt;"",COUNTA(G$7:$G185)&amp;"","")</f>
        <v>130</v>
      </c>
      <c r="B185" s="37"/>
      <c r="C185" s="6"/>
      <c r="D185" s="38"/>
      <c r="E185" s="43" t="s">
        <v>184</v>
      </c>
      <c r="F185" s="40">
        <v>1</v>
      </c>
      <c r="G185" s="44" t="s">
        <v>85</v>
      </c>
      <c r="H185" s="42">
        <v>0</v>
      </c>
      <c r="I185" s="76">
        <f t="shared" si="120"/>
        <v>1</v>
      </c>
      <c r="J185" s="77">
        <v>3888.9479999999999</v>
      </c>
      <c r="K185" s="78">
        <f t="shared" si="116"/>
        <v>3888.9479999999999</v>
      </c>
      <c r="L185" s="79">
        <v>73.801299999999998</v>
      </c>
      <c r="M185" s="84">
        <v>4.58</v>
      </c>
      <c r="N185" s="80">
        <f t="shared" si="117"/>
        <v>338.00995399999999</v>
      </c>
      <c r="O185" s="78">
        <f t="shared" si="118"/>
        <v>338.00995399999999</v>
      </c>
      <c r="P185" s="81">
        <f t="shared" si="119"/>
        <v>4226.9579540000004</v>
      </c>
      <c r="Q185" s="96"/>
    </row>
    <row r="186" spans="1:17" customFormat="1">
      <c r="A186" s="36" t="str">
        <f>IF(TRIM(G186)&lt;&gt;"",COUNTA(G$7:$G186)&amp;"","")</f>
        <v>131</v>
      </c>
      <c r="B186" s="5"/>
      <c r="C186" s="6"/>
      <c r="D186" s="38"/>
      <c r="E186" s="45" t="s">
        <v>185</v>
      </c>
      <c r="F186" s="40">
        <v>2</v>
      </c>
      <c r="G186" s="44" t="s">
        <v>85</v>
      </c>
      <c r="H186" s="42">
        <v>0</v>
      </c>
      <c r="I186" s="76">
        <f t="shared" si="120"/>
        <v>2</v>
      </c>
      <c r="J186" s="77">
        <v>3171.3780000000002</v>
      </c>
      <c r="K186" s="78">
        <f t="shared" si="116"/>
        <v>6342.7560000000003</v>
      </c>
      <c r="L186" s="79">
        <v>73.801299999999998</v>
      </c>
      <c r="M186" s="84">
        <v>5.12</v>
      </c>
      <c r="N186" s="80">
        <f t="shared" si="117"/>
        <v>377.86265600000002</v>
      </c>
      <c r="O186" s="78">
        <f t="shared" si="118"/>
        <v>755.72531200000003</v>
      </c>
      <c r="P186" s="81">
        <f t="shared" si="119"/>
        <v>7098.4813119999999</v>
      </c>
      <c r="Q186" s="96"/>
    </row>
    <row r="187" spans="1:17" customFormat="1">
      <c r="A187" s="36" t="str">
        <f>IF(TRIM(G187)&lt;&gt;"",COUNTA(G$7:$G187)&amp;"","")</f>
        <v>132</v>
      </c>
      <c r="B187" s="37"/>
      <c r="C187" s="6"/>
      <c r="D187" s="38"/>
      <c r="E187" s="43" t="s">
        <v>186</v>
      </c>
      <c r="F187" s="40">
        <v>2</v>
      </c>
      <c r="G187" s="44" t="s">
        <v>85</v>
      </c>
      <c r="H187" s="42">
        <v>0</v>
      </c>
      <c r="I187" s="76">
        <f t="shared" si="120"/>
        <v>2</v>
      </c>
      <c r="J187" s="77">
        <v>591.87800000000004</v>
      </c>
      <c r="K187" s="78">
        <f t="shared" si="116"/>
        <v>1183.7560000000001</v>
      </c>
      <c r="L187" s="79">
        <v>101.67400000000001</v>
      </c>
      <c r="M187" s="84">
        <v>4.2759999999999998</v>
      </c>
      <c r="N187" s="80">
        <f t="shared" si="117"/>
        <v>434.75802399999998</v>
      </c>
      <c r="O187" s="78">
        <f t="shared" si="118"/>
        <v>869.51604799999996</v>
      </c>
      <c r="P187" s="81">
        <f t="shared" si="119"/>
        <v>2053.2720479999998</v>
      </c>
      <c r="Q187" s="96"/>
    </row>
    <row r="188" spans="1:17" customFormat="1">
      <c r="A188" s="36" t="str">
        <f>IF(TRIM(G188)&lt;&gt;"",COUNTA(G$7:$G188)&amp;"","")</f>
        <v>133</v>
      </c>
      <c r="B188" s="37"/>
      <c r="C188" s="6"/>
      <c r="D188" s="38"/>
      <c r="E188" s="43" t="s">
        <v>187</v>
      </c>
      <c r="F188" s="40">
        <v>1</v>
      </c>
      <c r="G188" s="44" t="s">
        <v>85</v>
      </c>
      <c r="H188" s="42">
        <v>0</v>
      </c>
      <c r="I188" s="76">
        <f t="shared" si="120"/>
        <v>1</v>
      </c>
      <c r="J188" s="77">
        <v>133.196</v>
      </c>
      <c r="K188" s="78">
        <f t="shared" si="116"/>
        <v>133.196</v>
      </c>
      <c r="L188" s="79">
        <v>93.171949999999995</v>
      </c>
      <c r="M188" s="84">
        <v>0.625</v>
      </c>
      <c r="N188" s="80">
        <f t="shared" si="117"/>
        <v>58.232468750000002</v>
      </c>
      <c r="O188" s="78">
        <f t="shared" si="118"/>
        <v>58.232468750000002</v>
      </c>
      <c r="P188" s="81">
        <f t="shared" si="119"/>
        <v>191.42846875000001</v>
      </c>
      <c r="Q188" s="96"/>
    </row>
    <row r="189" spans="1:17" customFormat="1">
      <c r="A189" s="36" t="str">
        <f>IF(TRIM(G189)&lt;&gt;"",COUNTA(G$7:$G189)&amp;"","")</f>
        <v>134</v>
      </c>
      <c r="B189" s="37"/>
      <c r="C189" s="6"/>
      <c r="D189" s="38"/>
      <c r="E189" s="43" t="s">
        <v>188</v>
      </c>
      <c r="F189" s="40">
        <v>2</v>
      </c>
      <c r="G189" s="44" t="s">
        <v>85</v>
      </c>
      <c r="H189" s="42">
        <v>0</v>
      </c>
      <c r="I189" s="76">
        <f t="shared" si="120"/>
        <v>2</v>
      </c>
      <c r="J189" s="77">
        <v>118.05668</v>
      </c>
      <c r="K189" s="78">
        <f t="shared" si="116"/>
        <v>236.11336</v>
      </c>
      <c r="L189" s="79">
        <v>93.171949999999995</v>
      </c>
      <c r="M189" s="84">
        <v>0.625</v>
      </c>
      <c r="N189" s="80">
        <f t="shared" si="117"/>
        <v>58.232468750000002</v>
      </c>
      <c r="O189" s="78">
        <f t="shared" si="118"/>
        <v>116.4649375</v>
      </c>
      <c r="P189" s="81">
        <f t="shared" si="119"/>
        <v>352.57829750000002</v>
      </c>
      <c r="Q189" s="96"/>
    </row>
    <row r="190" spans="1:17" customFormat="1">
      <c r="A190" s="36" t="str">
        <f>IF(TRIM(G190)&lt;&gt;"",COUNTA(G$7:$G190)&amp;"","")</f>
        <v>135</v>
      </c>
      <c r="B190" s="37"/>
      <c r="C190" s="6"/>
      <c r="D190" s="38"/>
      <c r="E190" s="43" t="s">
        <v>189</v>
      </c>
      <c r="F190" s="40">
        <v>1</v>
      </c>
      <c r="G190" s="44" t="s">
        <v>85</v>
      </c>
      <c r="H190" s="42">
        <v>0</v>
      </c>
      <c r="I190" s="76">
        <f t="shared" si="120"/>
        <v>1</v>
      </c>
      <c r="J190" s="77">
        <v>64.965879999999999</v>
      </c>
      <c r="K190" s="78">
        <f t="shared" si="116"/>
        <v>64.965879999999999</v>
      </c>
      <c r="L190" s="79">
        <v>93.171949999999995</v>
      </c>
      <c r="M190" s="84">
        <v>0.33300000000000002</v>
      </c>
      <c r="N190" s="80">
        <f t="shared" si="117"/>
        <v>31.02625935</v>
      </c>
      <c r="O190" s="78">
        <f t="shared" si="118"/>
        <v>31.02625935</v>
      </c>
      <c r="P190" s="81">
        <f t="shared" si="119"/>
        <v>95.992139350000002</v>
      </c>
      <c r="Q190" s="96"/>
    </row>
    <row r="191" spans="1:17" customFormat="1" ht="28.8">
      <c r="A191" s="36" t="str">
        <f>IF(TRIM(G191)&lt;&gt;"",COUNTA(G$7:$G191)&amp;"","")</f>
        <v>136</v>
      </c>
      <c r="B191" s="37"/>
      <c r="C191" s="6"/>
      <c r="D191" s="38"/>
      <c r="E191" s="43" t="s">
        <v>190</v>
      </c>
      <c r="F191" s="40">
        <v>2</v>
      </c>
      <c r="G191" s="44" t="s">
        <v>85</v>
      </c>
      <c r="H191" s="42">
        <v>0</v>
      </c>
      <c r="I191" s="76">
        <f t="shared" si="120"/>
        <v>2</v>
      </c>
      <c r="J191" s="77">
        <v>510.27199999999999</v>
      </c>
      <c r="K191" s="78">
        <f t="shared" si="116"/>
        <v>1020.544</v>
      </c>
      <c r="L191" s="79">
        <v>93.171949999999995</v>
      </c>
      <c r="M191" s="84">
        <v>1.625</v>
      </c>
      <c r="N191" s="80">
        <f t="shared" si="117"/>
        <v>151.40441874999999</v>
      </c>
      <c r="O191" s="78">
        <f t="shared" si="118"/>
        <v>302.80883749999998</v>
      </c>
      <c r="P191" s="81">
        <f t="shared" si="119"/>
        <v>1323.3528375000001</v>
      </c>
      <c r="Q191" s="96"/>
    </row>
    <row r="192" spans="1:17" customFormat="1">
      <c r="A192" s="36" t="str">
        <f>IF(TRIM(G192)&lt;&gt;"",COUNTA(G$7:$G192)&amp;"","")</f>
        <v>137</v>
      </c>
      <c r="B192" s="5"/>
      <c r="C192" s="6"/>
      <c r="D192" s="38"/>
      <c r="E192" s="45" t="s">
        <v>191</v>
      </c>
      <c r="F192" s="40">
        <v>1</v>
      </c>
      <c r="G192" s="44" t="s">
        <v>85</v>
      </c>
      <c r="H192" s="42">
        <v>0</v>
      </c>
      <c r="I192" s="76">
        <f t="shared" si="120"/>
        <v>1</v>
      </c>
      <c r="J192" s="77">
        <v>350.81200000000001</v>
      </c>
      <c r="K192" s="78">
        <f t="shared" si="116"/>
        <v>350.81200000000001</v>
      </c>
      <c r="L192" s="79">
        <v>93.171949999999995</v>
      </c>
      <c r="M192" s="84">
        <v>1.625</v>
      </c>
      <c r="N192" s="80">
        <f t="shared" si="117"/>
        <v>151.40441874999999</v>
      </c>
      <c r="O192" s="78">
        <f t="shared" si="118"/>
        <v>151.40441874999999</v>
      </c>
      <c r="P192" s="81">
        <f t="shared" si="119"/>
        <v>502.21641875</v>
      </c>
      <c r="Q192" s="96"/>
    </row>
    <row r="193" spans="1:17" customFormat="1" ht="28.8">
      <c r="A193" s="36" t="str">
        <f>IF(TRIM(G193)&lt;&gt;"",COUNTA(G$7:$G193)&amp;"","")</f>
        <v>138</v>
      </c>
      <c r="B193" s="37"/>
      <c r="C193" s="6"/>
      <c r="D193" s="38"/>
      <c r="E193" s="43" t="s">
        <v>192</v>
      </c>
      <c r="F193" s="40">
        <v>1</v>
      </c>
      <c r="G193" s="44" t="s">
        <v>85</v>
      </c>
      <c r="H193" s="42">
        <v>0</v>
      </c>
      <c r="I193" s="76">
        <f t="shared" si="120"/>
        <v>1</v>
      </c>
      <c r="J193" s="77">
        <v>510.27199999999999</v>
      </c>
      <c r="K193" s="78">
        <f t="shared" si="116"/>
        <v>510.27199999999999</v>
      </c>
      <c r="L193" s="79">
        <v>93.171949999999995</v>
      </c>
      <c r="M193" s="84">
        <v>1.625</v>
      </c>
      <c r="N193" s="80">
        <f t="shared" si="117"/>
        <v>151.40441874999999</v>
      </c>
      <c r="O193" s="78">
        <f t="shared" si="118"/>
        <v>151.40441874999999</v>
      </c>
      <c r="P193" s="81">
        <f t="shared" si="119"/>
        <v>661.67641875000004</v>
      </c>
      <c r="Q193" s="96"/>
    </row>
    <row r="194" spans="1:17" customFormat="1">
      <c r="A194" s="36" t="str">
        <f>IF(TRIM(G194)&lt;&gt;"",COUNTA(G$7:$G194)&amp;"","")</f>
        <v>139</v>
      </c>
      <c r="B194" s="37"/>
      <c r="C194" s="6"/>
      <c r="D194" s="38"/>
      <c r="E194" s="43" t="s">
        <v>193</v>
      </c>
      <c r="F194" s="40">
        <v>1</v>
      </c>
      <c r="G194" s="44" t="s">
        <v>85</v>
      </c>
      <c r="H194" s="42">
        <v>0</v>
      </c>
      <c r="I194" s="76">
        <f t="shared" si="120"/>
        <v>1</v>
      </c>
      <c r="J194" s="77">
        <v>20018.795999999998</v>
      </c>
      <c r="K194" s="78">
        <f t="shared" si="116"/>
        <v>20018.795999999998</v>
      </c>
      <c r="L194" s="79">
        <v>101.67400000000001</v>
      </c>
      <c r="M194" s="84">
        <v>6.4210000000000003</v>
      </c>
      <c r="N194" s="80">
        <f t="shared" si="117"/>
        <v>652.84875399999999</v>
      </c>
      <c r="O194" s="78">
        <f t="shared" si="118"/>
        <v>652.84875399999999</v>
      </c>
      <c r="P194" s="81">
        <f t="shared" si="119"/>
        <v>20671.644754000001</v>
      </c>
      <c r="Q194" s="96"/>
    </row>
    <row r="195" spans="1:17" customFormat="1">
      <c r="A195" s="36" t="str">
        <f>IF(TRIM(G195)&lt;&gt;"",COUNTA(G$7:$G195)&amp;"","")</f>
        <v>140</v>
      </c>
      <c r="B195" s="37"/>
      <c r="C195" s="6"/>
      <c r="D195" s="38"/>
      <c r="E195" s="43" t="s">
        <v>194</v>
      </c>
      <c r="F195" s="40">
        <v>1</v>
      </c>
      <c r="G195" s="44" t="s">
        <v>85</v>
      </c>
      <c r="H195" s="42">
        <v>0</v>
      </c>
      <c r="I195" s="76">
        <f t="shared" si="120"/>
        <v>1</v>
      </c>
      <c r="J195" s="77">
        <v>2356.2559999999999</v>
      </c>
      <c r="K195" s="78">
        <f t="shared" si="116"/>
        <v>2356.2559999999999</v>
      </c>
      <c r="L195" s="79">
        <v>101.67400000000001</v>
      </c>
      <c r="M195" s="84">
        <v>2</v>
      </c>
      <c r="N195" s="80">
        <f t="shared" si="117"/>
        <v>203.34800000000001</v>
      </c>
      <c r="O195" s="78">
        <f t="shared" si="118"/>
        <v>203.34800000000001</v>
      </c>
      <c r="P195" s="81">
        <f t="shared" si="119"/>
        <v>2559.6039999999998</v>
      </c>
      <c r="Q195" s="96"/>
    </row>
    <row r="196" spans="1:17" customFormat="1">
      <c r="A196" s="36" t="str">
        <f>IF(TRIM(G196)&lt;&gt;"",COUNTA(G$7:$G196)&amp;"","")</f>
        <v>141</v>
      </c>
      <c r="B196" s="37"/>
      <c r="C196" s="6"/>
      <c r="D196" s="38"/>
      <c r="E196" s="43" t="s">
        <v>195</v>
      </c>
      <c r="F196" s="40">
        <v>1</v>
      </c>
      <c r="G196" s="44" t="s">
        <v>85</v>
      </c>
      <c r="H196" s="42">
        <v>0</v>
      </c>
      <c r="I196" s="76">
        <f t="shared" ref="I196:I206" si="121">IF(F196=0,"",F196+(F196*H196))</f>
        <v>1</v>
      </c>
      <c r="J196" s="77">
        <v>3686.34</v>
      </c>
      <c r="K196" s="78">
        <f t="shared" si="116"/>
        <v>3686.34</v>
      </c>
      <c r="L196" s="79">
        <v>101.67400000000001</v>
      </c>
      <c r="M196" s="84">
        <v>2.5579999999999998</v>
      </c>
      <c r="N196" s="80">
        <f t="shared" si="117"/>
        <v>260.08209199999999</v>
      </c>
      <c r="O196" s="78">
        <f t="shared" si="118"/>
        <v>260.08209199999999</v>
      </c>
      <c r="P196" s="81">
        <f t="shared" si="119"/>
        <v>3946.4220919999998</v>
      </c>
      <c r="Q196" s="96"/>
    </row>
    <row r="197" spans="1:17" customFormat="1">
      <c r="A197" s="36" t="str">
        <f>IF(TRIM(G197)&lt;&gt;"",COUNTA(G$7:$G197)&amp;"","")</f>
        <v>142</v>
      </c>
      <c r="B197" s="37"/>
      <c r="C197" s="6"/>
      <c r="D197" s="38"/>
      <c r="E197" s="43" t="s">
        <v>196</v>
      </c>
      <c r="F197" s="40">
        <v>1</v>
      </c>
      <c r="G197" s="44" t="s">
        <v>85</v>
      </c>
      <c r="H197" s="42">
        <v>0</v>
      </c>
      <c r="I197" s="76">
        <f t="shared" si="121"/>
        <v>1</v>
      </c>
      <c r="J197" s="77">
        <v>161.33600000000001</v>
      </c>
      <c r="K197" s="78">
        <f t="shared" si="116"/>
        <v>161.33600000000001</v>
      </c>
      <c r="L197" s="79">
        <v>112.98085</v>
      </c>
      <c r="M197" s="84">
        <v>2.4209999999999998</v>
      </c>
      <c r="N197" s="80">
        <f t="shared" si="117"/>
        <v>273.52663784999999</v>
      </c>
      <c r="O197" s="78">
        <f t="shared" si="118"/>
        <v>273.52663784999999</v>
      </c>
      <c r="P197" s="81">
        <f t="shared" si="119"/>
        <v>434.86263785</v>
      </c>
      <c r="Q197" s="96"/>
    </row>
    <row r="198" spans="1:17" customFormat="1">
      <c r="A198" s="36" t="str">
        <f>IF(TRIM(G198)&lt;&gt;"",COUNTA(G$7:$G198)&amp;"","")</f>
        <v>143</v>
      </c>
      <c r="B198" s="5"/>
      <c r="C198" s="6"/>
      <c r="D198" s="38"/>
      <c r="E198" s="45" t="s">
        <v>197</v>
      </c>
      <c r="F198" s="40">
        <v>1</v>
      </c>
      <c r="G198" s="44" t="s">
        <v>85</v>
      </c>
      <c r="H198" s="42">
        <v>0</v>
      </c>
      <c r="I198" s="76">
        <f t="shared" si="121"/>
        <v>1</v>
      </c>
      <c r="J198" s="77">
        <v>1642.4380000000001</v>
      </c>
      <c r="K198" s="78">
        <f t="shared" si="116"/>
        <v>1642.4380000000001</v>
      </c>
      <c r="L198" s="79">
        <v>93.171949999999995</v>
      </c>
      <c r="M198" s="84">
        <v>1.885</v>
      </c>
      <c r="N198" s="80">
        <f t="shared" si="117"/>
        <v>175.62912574999999</v>
      </c>
      <c r="O198" s="78">
        <f t="shared" si="118"/>
        <v>175.62912574999999</v>
      </c>
      <c r="P198" s="81">
        <f t="shared" si="119"/>
        <v>1818.0671257500001</v>
      </c>
      <c r="Q198" s="96"/>
    </row>
    <row r="199" spans="1:17" customFormat="1" ht="28.8">
      <c r="A199" s="36" t="str">
        <f>IF(TRIM(G199)&lt;&gt;"",COUNTA(G$7:$G199)&amp;"","")</f>
        <v>144</v>
      </c>
      <c r="B199" s="37"/>
      <c r="C199" s="6"/>
      <c r="D199" s="38"/>
      <c r="E199" s="43" t="s">
        <v>198</v>
      </c>
      <c r="F199" s="40">
        <v>1</v>
      </c>
      <c r="G199" s="44" t="s">
        <v>85</v>
      </c>
      <c r="H199" s="42">
        <v>0</v>
      </c>
      <c r="I199" s="76">
        <f t="shared" si="121"/>
        <v>1</v>
      </c>
      <c r="J199" s="77">
        <v>1642.4380000000001</v>
      </c>
      <c r="K199" s="78">
        <f t="shared" si="116"/>
        <v>1642.4380000000001</v>
      </c>
      <c r="L199" s="79">
        <v>93.171949999999995</v>
      </c>
      <c r="M199" s="84">
        <v>1.885</v>
      </c>
      <c r="N199" s="80">
        <f t="shared" si="117"/>
        <v>175.62912574999999</v>
      </c>
      <c r="O199" s="78">
        <f t="shared" si="118"/>
        <v>175.62912574999999</v>
      </c>
      <c r="P199" s="81">
        <f t="shared" si="119"/>
        <v>1818.0671257500001</v>
      </c>
      <c r="Q199" s="96"/>
    </row>
    <row r="200" spans="1:17" customFormat="1">
      <c r="A200" s="36" t="str">
        <f>IF(TRIM(G200)&lt;&gt;"",COUNTA(G$7:$G200)&amp;"","")</f>
        <v>145</v>
      </c>
      <c r="B200" s="37"/>
      <c r="C200" s="6"/>
      <c r="D200" s="38"/>
      <c r="E200" s="43" t="s">
        <v>199</v>
      </c>
      <c r="F200" s="40">
        <v>1</v>
      </c>
      <c r="G200" s="44" t="s">
        <v>85</v>
      </c>
      <c r="H200" s="42">
        <v>0</v>
      </c>
      <c r="I200" s="76">
        <f t="shared" si="121"/>
        <v>1</v>
      </c>
      <c r="J200" s="77">
        <v>296.40800000000002</v>
      </c>
      <c r="K200" s="78">
        <f t="shared" si="116"/>
        <v>296.40800000000002</v>
      </c>
      <c r="L200" s="79">
        <v>93.171949999999995</v>
      </c>
      <c r="M200" s="84">
        <v>0.8</v>
      </c>
      <c r="N200" s="80">
        <f t="shared" si="117"/>
        <v>74.537559999999999</v>
      </c>
      <c r="O200" s="78">
        <f t="shared" si="118"/>
        <v>74.537559999999999</v>
      </c>
      <c r="P200" s="81">
        <f t="shared" si="119"/>
        <v>370.94556</v>
      </c>
      <c r="Q200" s="96"/>
    </row>
    <row r="201" spans="1:17" customFormat="1">
      <c r="A201" s="36" t="str">
        <f>IF(TRIM(G201)&lt;&gt;"",COUNTA(G$7:$G201)&amp;"","")</f>
        <v>146</v>
      </c>
      <c r="B201" s="37"/>
      <c r="C201" s="6"/>
      <c r="D201" s="38"/>
      <c r="E201" s="43" t="s">
        <v>200</v>
      </c>
      <c r="F201" s="40">
        <v>1</v>
      </c>
      <c r="G201" s="44" t="s">
        <v>85</v>
      </c>
      <c r="H201" s="42">
        <v>0</v>
      </c>
      <c r="I201" s="76">
        <f t="shared" si="121"/>
        <v>1</v>
      </c>
      <c r="J201" s="77">
        <v>206.67892000000001</v>
      </c>
      <c r="K201" s="78">
        <f t="shared" si="116"/>
        <v>206.67892000000001</v>
      </c>
      <c r="L201" s="79">
        <v>93.171949999999995</v>
      </c>
      <c r="M201" s="84">
        <v>0.8</v>
      </c>
      <c r="N201" s="80">
        <f t="shared" si="117"/>
        <v>74.537559999999999</v>
      </c>
      <c r="O201" s="78">
        <f t="shared" si="118"/>
        <v>74.537559999999999</v>
      </c>
      <c r="P201" s="81">
        <f t="shared" si="119"/>
        <v>281.21647999999999</v>
      </c>
      <c r="Q201" s="96"/>
    </row>
    <row r="202" spans="1:17" customFormat="1" ht="28.8">
      <c r="A202" s="36" t="str">
        <f>IF(TRIM(G202)&lt;&gt;"",COUNTA(G$7:$G202)&amp;"","")</f>
        <v>147</v>
      </c>
      <c r="B202" s="37"/>
      <c r="C202" s="6"/>
      <c r="D202" s="38"/>
      <c r="E202" s="43" t="s">
        <v>201</v>
      </c>
      <c r="F202" s="40">
        <v>1</v>
      </c>
      <c r="G202" s="44" t="s">
        <v>85</v>
      </c>
      <c r="H202" s="42">
        <v>0</v>
      </c>
      <c r="I202" s="76">
        <f t="shared" si="121"/>
        <v>1</v>
      </c>
      <c r="J202" s="77">
        <v>199.79400000000001</v>
      </c>
      <c r="K202" s="78">
        <f t="shared" si="116"/>
        <v>199.79400000000001</v>
      </c>
      <c r="L202" s="79">
        <v>93.171949999999995</v>
      </c>
      <c r="M202" s="84">
        <v>0.8</v>
      </c>
      <c r="N202" s="80">
        <f t="shared" si="117"/>
        <v>74.537559999999999</v>
      </c>
      <c r="O202" s="78">
        <f t="shared" si="118"/>
        <v>74.537559999999999</v>
      </c>
      <c r="P202" s="81">
        <f t="shared" si="119"/>
        <v>274.33156000000002</v>
      </c>
      <c r="Q202" s="96"/>
    </row>
    <row r="203" spans="1:17" customFormat="1">
      <c r="A203" s="36" t="str">
        <f>IF(TRIM(G203)&lt;&gt;"",COUNTA(G$7:$G203)&amp;"","")</f>
        <v>148</v>
      </c>
      <c r="B203" s="37"/>
      <c r="C203" s="6"/>
      <c r="D203" s="38"/>
      <c r="E203" s="43" t="s">
        <v>202</v>
      </c>
      <c r="F203" s="40">
        <v>3</v>
      </c>
      <c r="G203" s="44" t="s">
        <v>85</v>
      </c>
      <c r="H203" s="42">
        <v>0</v>
      </c>
      <c r="I203" s="76">
        <f t="shared" si="121"/>
        <v>3</v>
      </c>
      <c r="J203" s="77">
        <v>637.84</v>
      </c>
      <c r="K203" s="78">
        <f t="shared" si="116"/>
        <v>1913.52</v>
      </c>
      <c r="L203" s="79">
        <v>107.4589</v>
      </c>
      <c r="M203" s="84">
        <v>2.12</v>
      </c>
      <c r="N203" s="80">
        <f t="shared" si="117"/>
        <v>227.81286800000001</v>
      </c>
      <c r="O203" s="78">
        <f t="shared" si="118"/>
        <v>683.43860400000005</v>
      </c>
      <c r="P203" s="81">
        <f t="shared" si="119"/>
        <v>2596.9586039999999</v>
      </c>
      <c r="Q203" s="96"/>
    </row>
    <row r="204" spans="1:17" customFormat="1">
      <c r="A204" s="36" t="str">
        <f>IF(TRIM(G204)&lt;&gt;"",COUNTA(G$7:$G204)&amp;"","")</f>
        <v>149</v>
      </c>
      <c r="B204" s="5"/>
      <c r="C204" s="6"/>
      <c r="D204" s="38"/>
      <c r="E204" s="45" t="s">
        <v>203</v>
      </c>
      <c r="F204" s="40">
        <v>1</v>
      </c>
      <c r="G204" s="44" t="s">
        <v>85</v>
      </c>
      <c r="H204" s="42">
        <v>0</v>
      </c>
      <c r="I204" s="76">
        <f t="shared" si="121"/>
        <v>1</v>
      </c>
      <c r="J204" s="77">
        <v>694.12</v>
      </c>
      <c r="K204" s="78">
        <f t="shared" si="116"/>
        <v>694.12</v>
      </c>
      <c r="L204" s="79">
        <v>101.67400000000001</v>
      </c>
      <c r="M204" s="84">
        <v>2</v>
      </c>
      <c r="N204" s="80">
        <f t="shared" si="117"/>
        <v>203.34800000000001</v>
      </c>
      <c r="O204" s="78">
        <f t="shared" si="118"/>
        <v>203.34800000000001</v>
      </c>
      <c r="P204" s="81">
        <f t="shared" si="119"/>
        <v>897.46799999999996</v>
      </c>
      <c r="Q204" s="96"/>
    </row>
    <row r="205" spans="1:17" customFormat="1">
      <c r="A205" s="36" t="str">
        <f>IF(TRIM(G205)&lt;&gt;"",COUNTA(G$7:$G205)&amp;"","")</f>
        <v>150</v>
      </c>
      <c r="B205" s="37"/>
      <c r="C205" s="6"/>
      <c r="D205" s="38"/>
      <c r="E205" s="43" t="s">
        <v>204</v>
      </c>
      <c r="F205" s="40">
        <v>1</v>
      </c>
      <c r="G205" s="44" t="s">
        <v>85</v>
      </c>
      <c r="H205" s="42">
        <v>0</v>
      </c>
      <c r="I205" s="76">
        <f t="shared" si="121"/>
        <v>1</v>
      </c>
      <c r="J205" s="77">
        <v>65.66</v>
      </c>
      <c r="K205" s="78">
        <f t="shared" si="116"/>
        <v>65.66</v>
      </c>
      <c r="L205" s="79">
        <v>93.171949999999995</v>
      </c>
      <c r="M205" s="84">
        <v>0.5</v>
      </c>
      <c r="N205" s="80">
        <f t="shared" si="117"/>
        <v>46.585974999999998</v>
      </c>
      <c r="O205" s="78">
        <f t="shared" si="118"/>
        <v>46.585974999999998</v>
      </c>
      <c r="P205" s="81">
        <f t="shared" si="119"/>
        <v>112.245975</v>
      </c>
      <c r="Q205" s="96"/>
    </row>
    <row r="206" spans="1:17" customFormat="1">
      <c r="A206" s="36" t="str">
        <f>IF(TRIM(G206)&lt;&gt;"",COUNTA(G$7:$G206)&amp;"","")</f>
        <v>151</v>
      </c>
      <c r="B206" s="37"/>
      <c r="C206" s="6"/>
      <c r="D206" s="38"/>
      <c r="E206" s="43" t="s">
        <v>205</v>
      </c>
      <c r="F206" s="40">
        <v>1</v>
      </c>
      <c r="G206" s="44" t="s">
        <v>85</v>
      </c>
      <c r="H206" s="42">
        <v>0</v>
      </c>
      <c r="I206" s="76">
        <f t="shared" si="121"/>
        <v>1</v>
      </c>
      <c r="J206" s="77">
        <v>909.86</v>
      </c>
      <c r="K206" s="78">
        <f t="shared" si="116"/>
        <v>909.86</v>
      </c>
      <c r="L206" s="79">
        <v>101.67400000000001</v>
      </c>
      <c r="M206" s="84">
        <v>2.4849999999999999</v>
      </c>
      <c r="N206" s="80">
        <f t="shared" si="117"/>
        <v>252.65988999999999</v>
      </c>
      <c r="O206" s="78">
        <f t="shared" si="118"/>
        <v>252.65988999999999</v>
      </c>
      <c r="P206" s="81">
        <f t="shared" si="119"/>
        <v>1162.51989</v>
      </c>
      <c r="Q206" s="96"/>
    </row>
    <row r="207" spans="1:17" customFormat="1">
      <c r="A207" s="36" t="str">
        <f>IF(TRIM(G207)&lt;&gt;"",COUNTA(G$7:$G207)&amp;"","")</f>
        <v/>
      </c>
      <c r="B207" s="5"/>
      <c r="C207" s="6"/>
      <c r="D207" s="38"/>
      <c r="E207" s="45"/>
      <c r="F207" s="40"/>
      <c r="G207" s="41"/>
      <c r="H207" s="42"/>
      <c r="I207" s="76"/>
      <c r="J207" s="77"/>
      <c r="K207" s="78"/>
      <c r="L207" s="79"/>
      <c r="M207" s="84"/>
      <c r="N207" s="80"/>
      <c r="O207" s="78"/>
      <c r="P207" s="81"/>
      <c r="Q207" s="96"/>
    </row>
    <row r="208" spans="1:17" s="8" customFormat="1" ht="15.6">
      <c r="A208" s="36" t="str">
        <f>IF(TRIM(G208)&lt;&gt;"",COUNTA(G$7:$G208)&amp;"","")</f>
        <v/>
      </c>
      <c r="B208" s="48"/>
      <c r="C208" s="48"/>
      <c r="D208" s="49"/>
      <c r="E208" s="50"/>
      <c r="F208" s="51"/>
      <c r="G208" s="52"/>
      <c r="H208" s="53" t="s">
        <v>93</v>
      </c>
      <c r="I208" s="85"/>
      <c r="J208" s="86">
        <f>SUM(K164:K207)</f>
        <v>188339.07834000001</v>
      </c>
      <c r="K208" s="263" t="s">
        <v>94</v>
      </c>
      <c r="L208" s="264"/>
      <c r="M208" s="87">
        <f>SUM(O164:O207)</f>
        <v>15796.665679899999</v>
      </c>
      <c r="N208" s="263"/>
      <c r="O208" s="264"/>
      <c r="P208" s="88"/>
      <c r="Q208" s="97">
        <f>SUM(P164:P207)</f>
        <v>204135.74401990001</v>
      </c>
    </row>
    <row r="209" spans="1:17">
      <c r="A209" s="54" t="str">
        <f>IF(TRIM(G209)&lt;&gt;"",COUNTA(G$7:$G209)&amp;"","")</f>
        <v/>
      </c>
      <c r="B209" s="6"/>
      <c r="C209" s="6"/>
      <c r="D209" s="55"/>
      <c r="E209" s="56"/>
      <c r="F209" s="40"/>
      <c r="G209" s="41"/>
      <c r="H209" s="42" t="str">
        <f>IF(F209=0,"",0)</f>
        <v/>
      </c>
      <c r="I209" s="76" t="str">
        <f>IF(F209=0,"",F209+(F209*H209))</f>
        <v/>
      </c>
      <c r="J209" s="77" t="str">
        <f>IF(F209=0,"",0)</f>
        <v/>
      </c>
      <c r="K209" s="78" t="str">
        <f>IF(F209=0,"",J209*I209)</f>
        <v/>
      </c>
      <c r="L209" s="79" t="str">
        <f>IF(F209=0,"",#REF!)</f>
        <v/>
      </c>
      <c r="M209" s="80" t="str">
        <f>IF(F209=0,"",0)</f>
        <v/>
      </c>
      <c r="N209" s="80" t="str">
        <f>IF(F209=0,"",M209*I209)</f>
        <v/>
      </c>
      <c r="O209" s="78" t="str">
        <f>IF(F209=0,"",N209*L209)</f>
        <v/>
      </c>
      <c r="P209" s="81" t="str">
        <f>IF(F209=0,"",K209+O209)</f>
        <v/>
      </c>
      <c r="Q209" s="96"/>
    </row>
    <row r="210" spans="1:17" ht="20.100000000000001" customHeight="1">
      <c r="A210" s="29" t="str">
        <f>IF(TRIM(G210)&lt;&gt;"",COUNTA(G$7:$G210)&amp;"","")</f>
        <v/>
      </c>
      <c r="B210" s="30"/>
      <c r="C210" s="31" t="s">
        <v>1</v>
      </c>
      <c r="D210" s="32" t="s">
        <v>206</v>
      </c>
      <c r="E210" s="33" t="s">
        <v>207</v>
      </c>
      <c r="F210" s="34"/>
      <c r="G210" s="35"/>
      <c r="H210" s="30"/>
      <c r="I210" s="74"/>
      <c r="J210" s="30"/>
      <c r="K210" s="30"/>
      <c r="L210" s="30"/>
      <c r="M210" s="75"/>
      <c r="N210" s="30"/>
      <c r="O210" s="30"/>
      <c r="P210" s="30"/>
      <c r="Q210" s="95"/>
    </row>
    <row r="211" spans="1:17" s="7" customFormat="1" ht="19.2" customHeight="1">
      <c r="A211" s="36" t="str">
        <f>IF(TRIM(G211)&lt;&gt;"",COUNTA(G$7:$G211)&amp;"","")</f>
        <v/>
      </c>
      <c r="B211" s="37"/>
      <c r="C211" s="37"/>
      <c r="D211" s="38"/>
      <c r="E211" s="39" t="s">
        <v>208</v>
      </c>
      <c r="F211" s="40"/>
      <c r="G211" s="41"/>
      <c r="H211" s="42"/>
      <c r="I211" s="76"/>
      <c r="J211" s="77"/>
      <c r="K211" s="78"/>
      <c r="L211" s="79"/>
      <c r="M211" s="80"/>
      <c r="N211" s="80"/>
      <c r="O211" s="78"/>
      <c r="P211" s="81"/>
      <c r="Q211" s="96"/>
    </row>
    <row r="212" spans="1:17" customFormat="1">
      <c r="A212" s="36" t="str">
        <f>IF(TRIM(G212)&lt;&gt;"",COUNTA(G$7:$G212)&amp;"","")</f>
        <v>152</v>
      </c>
      <c r="B212" s="37"/>
      <c r="C212" s="6"/>
      <c r="D212" s="38"/>
      <c r="E212" s="43" t="s">
        <v>209</v>
      </c>
      <c r="F212" s="40">
        <v>70</v>
      </c>
      <c r="G212" s="44" t="s">
        <v>75</v>
      </c>
      <c r="H212" s="42">
        <v>0.1</v>
      </c>
      <c r="I212" s="76">
        <f>IF(F212=0,"",F212+(F212*H212))</f>
        <v>77</v>
      </c>
      <c r="J212" s="77">
        <v>41.271999999999998</v>
      </c>
      <c r="K212" s="78">
        <f t="shared" ref="K212" si="122">IF(F212=0,"",J212*I212)</f>
        <v>3177.944</v>
      </c>
      <c r="L212" s="79">
        <v>93.171949999999995</v>
      </c>
      <c r="M212" s="84">
        <v>0.28699999999999998</v>
      </c>
      <c r="N212" s="80">
        <f t="shared" ref="N212" si="123">L212*M212</f>
        <v>26.740349649999999</v>
      </c>
      <c r="O212" s="78">
        <f t="shared" ref="O212" si="124">I212*N212</f>
        <v>2059.0069230499998</v>
      </c>
      <c r="P212" s="81">
        <f t="shared" ref="P212" si="125">K212+O212</f>
        <v>5236.9509230499998</v>
      </c>
      <c r="Q212" s="96"/>
    </row>
    <row r="213" spans="1:17" customFormat="1">
      <c r="A213" s="36" t="str">
        <f>IF(TRIM(G213)&lt;&gt;"",COUNTA(G$7:$G213)&amp;"","")</f>
        <v/>
      </c>
      <c r="B213" s="37"/>
      <c r="C213" s="6"/>
      <c r="D213" s="38"/>
      <c r="E213" s="43"/>
      <c r="F213" s="40"/>
      <c r="G213" s="44"/>
      <c r="H213" s="42"/>
      <c r="I213" s="76"/>
      <c r="J213" s="77"/>
      <c r="K213" s="78"/>
      <c r="L213" s="79"/>
      <c r="M213" s="84"/>
      <c r="N213" s="80"/>
      <c r="O213" s="78"/>
      <c r="P213" s="81"/>
      <c r="Q213" s="96"/>
    </row>
    <row r="214" spans="1:17" s="7" customFormat="1" ht="19.2" customHeight="1">
      <c r="A214" s="36" t="str">
        <f>IF(TRIM(G214)&lt;&gt;"",COUNTA(G$7:$G214)&amp;"","")</f>
        <v/>
      </c>
      <c r="B214" s="37"/>
      <c r="C214" s="37"/>
      <c r="D214" s="38"/>
      <c r="E214" s="39" t="s">
        <v>210</v>
      </c>
      <c r="F214" s="40"/>
      <c r="G214" s="41"/>
      <c r="H214" s="42"/>
      <c r="I214" s="76"/>
      <c r="J214" s="77"/>
      <c r="K214" s="78"/>
      <c r="L214" s="79"/>
      <c r="M214" s="80"/>
      <c r="N214" s="80"/>
      <c r="O214" s="78"/>
      <c r="P214" s="81"/>
      <c r="Q214" s="96"/>
    </row>
    <row r="215" spans="1:17" customFormat="1">
      <c r="A215" s="36" t="str">
        <f>IF(TRIM(G215)&lt;&gt;"",COUNTA(G$7:$G215)&amp;"","")</f>
        <v>153</v>
      </c>
      <c r="B215" s="37"/>
      <c r="C215" s="6"/>
      <c r="D215" s="38"/>
      <c r="E215" s="43" t="s">
        <v>211</v>
      </c>
      <c r="F215" s="40">
        <v>5</v>
      </c>
      <c r="G215" s="44" t="s">
        <v>85</v>
      </c>
      <c r="H215" s="42">
        <v>0</v>
      </c>
      <c r="I215" s="76">
        <f>IF(F215=0,"",F215+(F215*H215))</f>
        <v>5</v>
      </c>
      <c r="J215" s="77">
        <v>239.19</v>
      </c>
      <c r="K215" s="78">
        <f t="shared" ref="K215:K218" si="126">IF(F215=0,"",J215*I215)</f>
        <v>1195.95</v>
      </c>
      <c r="L215" s="79">
        <v>93.171949999999995</v>
      </c>
      <c r="M215" s="84">
        <v>1.21</v>
      </c>
      <c r="N215" s="80">
        <f t="shared" ref="N215:N218" si="127">L215*M215</f>
        <v>112.73805950000001</v>
      </c>
      <c r="O215" s="78">
        <f t="shared" ref="O215:O218" si="128">I215*N215</f>
        <v>563.69029750000004</v>
      </c>
      <c r="P215" s="81">
        <f t="shared" ref="P215:P218" si="129">K215+O215</f>
        <v>1759.6402975000001</v>
      </c>
      <c r="Q215" s="96"/>
    </row>
    <row r="216" spans="1:17" customFormat="1">
      <c r="A216" s="36" t="str">
        <f>IF(TRIM(G216)&lt;&gt;"",COUNTA(G$7:$G216)&amp;"","")</f>
        <v>154</v>
      </c>
      <c r="B216" s="37"/>
      <c r="C216" s="6"/>
      <c r="D216" s="38"/>
      <c r="E216" s="43" t="s">
        <v>212</v>
      </c>
      <c r="F216" s="40">
        <v>1</v>
      </c>
      <c r="G216" s="44" t="s">
        <v>85</v>
      </c>
      <c r="H216" s="42">
        <v>0</v>
      </c>
      <c r="I216" s="76">
        <f>IF(F216=0,"",F216+(F216*H216))</f>
        <v>1</v>
      </c>
      <c r="J216" s="77">
        <v>3982.9374760000001</v>
      </c>
      <c r="K216" s="78">
        <f t="shared" si="126"/>
        <v>3982.9374760000001</v>
      </c>
      <c r="L216" s="79">
        <v>93.171949999999995</v>
      </c>
      <c r="M216" s="84">
        <v>10.55</v>
      </c>
      <c r="N216" s="80">
        <f t="shared" si="127"/>
        <v>982.96407250000004</v>
      </c>
      <c r="O216" s="78">
        <f t="shared" si="128"/>
        <v>982.96407250000004</v>
      </c>
      <c r="P216" s="81">
        <f t="shared" si="129"/>
        <v>4965.9015485</v>
      </c>
      <c r="Q216" s="96"/>
    </row>
    <row r="217" spans="1:17" customFormat="1">
      <c r="A217" s="36" t="str">
        <f>IF(TRIM(G217)&lt;&gt;"",COUNTA(G$7:$G217)&amp;"","")</f>
        <v>155</v>
      </c>
      <c r="B217" s="37"/>
      <c r="C217" s="6"/>
      <c r="D217" s="38"/>
      <c r="E217" s="43" t="s">
        <v>213</v>
      </c>
      <c r="F217" s="40">
        <v>1</v>
      </c>
      <c r="G217" s="44" t="s">
        <v>85</v>
      </c>
      <c r="H217" s="42">
        <v>0</v>
      </c>
      <c r="I217" s="76">
        <f>IF(F217=0,"",F217+(F217*H217))</f>
        <v>1</v>
      </c>
      <c r="J217" s="77">
        <v>1266.3</v>
      </c>
      <c r="K217" s="78">
        <f t="shared" si="126"/>
        <v>1266.3</v>
      </c>
      <c r="L217" s="79">
        <v>93.171949999999995</v>
      </c>
      <c r="M217" s="84">
        <v>4.5430000000000001</v>
      </c>
      <c r="N217" s="80">
        <f t="shared" si="127"/>
        <v>423.28016885</v>
      </c>
      <c r="O217" s="78">
        <f t="shared" si="128"/>
        <v>423.28016885</v>
      </c>
      <c r="P217" s="81">
        <f t="shared" si="129"/>
        <v>1689.5801688500001</v>
      </c>
      <c r="Q217" s="96"/>
    </row>
    <row r="218" spans="1:17" customFormat="1">
      <c r="A218" s="36" t="str">
        <f>IF(TRIM(G218)&lt;&gt;"",COUNTA(G$7:$G218)&amp;"","")</f>
        <v>156</v>
      </c>
      <c r="B218" s="5"/>
      <c r="C218" s="6"/>
      <c r="D218" s="38"/>
      <c r="E218" s="45" t="s">
        <v>214</v>
      </c>
      <c r="F218" s="40">
        <v>1</v>
      </c>
      <c r="G218" s="44" t="s">
        <v>85</v>
      </c>
      <c r="H218" s="42">
        <v>0</v>
      </c>
      <c r="I218" s="76">
        <f>IF(F218=0,"",F218+(F218*H218))</f>
        <v>1</v>
      </c>
      <c r="J218" s="77">
        <v>393.96</v>
      </c>
      <c r="K218" s="78">
        <f t="shared" si="126"/>
        <v>393.96</v>
      </c>
      <c r="L218" s="79">
        <v>93.171949999999995</v>
      </c>
      <c r="M218" s="84">
        <v>1.298</v>
      </c>
      <c r="N218" s="80">
        <f t="shared" si="127"/>
        <v>120.93719110000001</v>
      </c>
      <c r="O218" s="78">
        <f t="shared" si="128"/>
        <v>120.93719110000001</v>
      </c>
      <c r="P218" s="81">
        <f t="shared" si="129"/>
        <v>514.89719109999999</v>
      </c>
      <c r="Q218" s="96"/>
    </row>
    <row r="219" spans="1:17" customFormat="1">
      <c r="A219" s="36" t="str">
        <f>IF(TRIM(G219)&lt;&gt;"",COUNTA(G$7:$G219)&amp;"","")</f>
        <v/>
      </c>
      <c r="B219" s="37"/>
      <c r="C219" s="6"/>
      <c r="D219" s="38"/>
      <c r="E219" s="43"/>
      <c r="F219" s="40"/>
      <c r="G219" s="44"/>
      <c r="H219" s="42"/>
      <c r="I219" s="76"/>
      <c r="J219" s="77"/>
      <c r="K219" s="78"/>
      <c r="L219" s="79"/>
      <c r="M219" s="84"/>
      <c r="N219" s="80"/>
      <c r="O219" s="78"/>
      <c r="P219" s="81"/>
      <c r="Q219" s="96"/>
    </row>
    <row r="220" spans="1:17" s="8" customFormat="1" ht="15.6">
      <c r="A220" s="36" t="str">
        <f>IF(TRIM(G220)&lt;&gt;"",COUNTA(G$7:$G220)&amp;"","")</f>
        <v/>
      </c>
      <c r="B220" s="48"/>
      <c r="C220" s="48"/>
      <c r="D220" s="49"/>
      <c r="E220" s="50"/>
      <c r="F220" s="51"/>
      <c r="G220" s="52"/>
      <c r="H220" s="53" t="s">
        <v>93</v>
      </c>
      <c r="I220" s="85"/>
      <c r="J220" s="86">
        <f>SUM(K211:K219)</f>
        <v>10017.091476</v>
      </c>
      <c r="K220" s="263" t="s">
        <v>94</v>
      </c>
      <c r="L220" s="264"/>
      <c r="M220" s="87">
        <f>SUM(O211:O219)</f>
        <v>4149.8786529999998</v>
      </c>
      <c r="N220" s="263"/>
      <c r="O220" s="264"/>
      <c r="P220" s="88"/>
      <c r="Q220" s="97">
        <f>SUM(P211:P219)</f>
        <v>14166.970128999999</v>
      </c>
    </row>
    <row r="221" spans="1:17">
      <c r="A221" s="54" t="str">
        <f>IF(TRIM(G221)&lt;&gt;"",COUNTA(G$7:$G221)&amp;"","")</f>
        <v/>
      </c>
      <c r="B221" s="6"/>
      <c r="C221" s="6"/>
      <c r="D221" s="55"/>
      <c r="E221" s="56"/>
      <c r="F221" s="40"/>
      <c r="G221" s="41"/>
      <c r="H221" s="42" t="str">
        <f>IF(F221=0,"",0)</f>
        <v/>
      </c>
      <c r="I221" s="76" t="str">
        <f t="shared" ref="I221:I243" si="130">IF(F221=0,"",F221+(F221*H221))</f>
        <v/>
      </c>
      <c r="J221" s="77" t="str">
        <f>IF(F221=0,"",0)</f>
        <v/>
      </c>
      <c r="K221" s="78" t="str">
        <f t="shared" ref="K221" si="131">IF(F221=0,"",J221*I221)</f>
        <v/>
      </c>
      <c r="L221" s="79" t="str">
        <f>IF(F221=0,"",#REF!)</f>
        <v/>
      </c>
      <c r="M221" s="80" t="str">
        <f>IF(F221=0,"",0)</f>
        <v/>
      </c>
      <c r="N221" s="80" t="str">
        <f>IF(F221=0,"",M221*I221)</f>
        <v/>
      </c>
      <c r="O221" s="78" t="str">
        <f>IF(F221=0,"",N221*L221)</f>
        <v/>
      </c>
      <c r="P221" s="81" t="str">
        <f>IF(F221=0,"",K221+O221)</f>
        <v/>
      </c>
      <c r="Q221" s="96"/>
    </row>
    <row r="222" spans="1:17" ht="20.100000000000001" customHeight="1">
      <c r="A222" s="29" t="str">
        <f>IF(TRIM(G222)&lt;&gt;"",COUNTA(G$7:$G222)&amp;"","")</f>
        <v/>
      </c>
      <c r="B222" s="30"/>
      <c r="C222" s="31" t="s">
        <v>1</v>
      </c>
      <c r="D222" s="32" t="s">
        <v>215</v>
      </c>
      <c r="E222" s="33" t="s">
        <v>216</v>
      </c>
      <c r="F222" s="34"/>
      <c r="G222" s="35"/>
      <c r="H222" s="30"/>
      <c r="I222" s="74"/>
      <c r="J222" s="30"/>
      <c r="K222" s="30"/>
      <c r="L222" s="30"/>
      <c r="M222" s="75"/>
      <c r="N222" s="30"/>
      <c r="O222" s="30"/>
      <c r="P222" s="30"/>
      <c r="Q222" s="95"/>
    </row>
    <row r="223" spans="1:17" s="7" customFormat="1" ht="19.2" customHeight="1">
      <c r="A223" s="36" t="str">
        <f>IF(TRIM(G223)&lt;&gt;"",COUNTA(G$7:$G223)&amp;"","")</f>
        <v/>
      </c>
      <c r="B223" s="37"/>
      <c r="C223" s="37"/>
      <c r="D223" s="38"/>
      <c r="E223" s="101" t="s">
        <v>217</v>
      </c>
      <c r="F223" s="40"/>
      <c r="G223" s="41"/>
      <c r="H223" s="42"/>
      <c r="I223" s="76"/>
      <c r="J223" s="77"/>
      <c r="K223" s="78"/>
      <c r="L223" s="79"/>
      <c r="M223" s="80"/>
      <c r="N223" s="80"/>
      <c r="O223" s="78"/>
      <c r="P223" s="81"/>
      <c r="Q223" s="96"/>
    </row>
    <row r="224" spans="1:17" customFormat="1">
      <c r="A224" s="36" t="str">
        <f>IF(TRIM(G224)&lt;&gt;"",COUNTA(G$7:$G224)&amp;"","")</f>
        <v>157</v>
      </c>
      <c r="B224" s="37"/>
      <c r="C224" s="6"/>
      <c r="D224" s="38"/>
      <c r="E224" s="43" t="s">
        <v>218</v>
      </c>
      <c r="F224" s="40">
        <v>35</v>
      </c>
      <c r="G224" s="44" t="s">
        <v>82</v>
      </c>
      <c r="H224" s="42">
        <v>0.05</v>
      </c>
      <c r="I224" s="76">
        <f t="shared" si="130"/>
        <v>36.75</v>
      </c>
      <c r="J224" s="77">
        <v>5.8624999999999998</v>
      </c>
      <c r="K224" s="78">
        <f t="shared" ref="K224:K243" si="132">IF(F224=0,"",J224*I224)</f>
        <v>215.44687500000001</v>
      </c>
      <c r="L224" s="79">
        <v>101.67400000000001</v>
      </c>
      <c r="M224" s="84">
        <v>0.27100000000000002</v>
      </c>
      <c r="N224" s="80">
        <f t="shared" ref="N224:N243" si="133">L224*M224</f>
        <v>27.553654000000002</v>
      </c>
      <c r="O224" s="78">
        <f t="shared" ref="O224:O243" si="134">I224*N224</f>
        <v>1012.5967845</v>
      </c>
      <c r="P224" s="81">
        <f t="shared" ref="P224:P243" si="135">K224+O224</f>
        <v>1228.0436595000001</v>
      </c>
      <c r="Q224" s="96"/>
    </row>
    <row r="225" spans="1:17" customFormat="1">
      <c r="A225" s="36" t="str">
        <f>IF(TRIM(G225)&lt;&gt;"",COUNTA(G$7:$G225)&amp;"","")</f>
        <v>158</v>
      </c>
      <c r="B225" s="37"/>
      <c r="C225" s="6"/>
      <c r="D225" s="38"/>
      <c r="E225" s="43" t="s">
        <v>219</v>
      </c>
      <c r="F225" s="40">
        <v>90</v>
      </c>
      <c r="G225" s="44" t="s">
        <v>82</v>
      </c>
      <c r="H225" s="42">
        <v>0.05</v>
      </c>
      <c r="I225" s="76">
        <f t="shared" si="130"/>
        <v>94.5</v>
      </c>
      <c r="J225" s="77">
        <v>10.1304</v>
      </c>
      <c r="K225" s="78">
        <f t="shared" si="132"/>
        <v>957.32280000000003</v>
      </c>
      <c r="L225" s="79">
        <v>101.67400000000001</v>
      </c>
      <c r="M225" s="84">
        <v>0.30199999999999999</v>
      </c>
      <c r="N225" s="80">
        <f t="shared" si="133"/>
        <v>30.705548</v>
      </c>
      <c r="O225" s="78">
        <f t="shared" si="134"/>
        <v>2901.6742859999999</v>
      </c>
      <c r="P225" s="81">
        <f t="shared" si="135"/>
        <v>3858.9970859999999</v>
      </c>
      <c r="Q225" s="96"/>
    </row>
    <row r="226" spans="1:17" customFormat="1">
      <c r="A226" s="36" t="str">
        <f>IF(TRIM(G226)&lt;&gt;"",COUNTA(G$7:$G226)&amp;"","")</f>
        <v>159</v>
      </c>
      <c r="B226" s="37"/>
      <c r="C226" s="6"/>
      <c r="D226" s="38"/>
      <c r="E226" s="43" t="s">
        <v>220</v>
      </c>
      <c r="F226" s="40">
        <v>60</v>
      </c>
      <c r="G226" s="44" t="s">
        <v>82</v>
      </c>
      <c r="H226" s="42">
        <v>0.05</v>
      </c>
      <c r="I226" s="76">
        <f t="shared" si="130"/>
        <v>63</v>
      </c>
      <c r="J226" s="77">
        <v>13.3665</v>
      </c>
      <c r="K226" s="78">
        <f t="shared" si="132"/>
        <v>842.08950000000004</v>
      </c>
      <c r="L226" s="79">
        <v>101.67400000000001</v>
      </c>
      <c r="M226" s="84">
        <v>0.33300000000000002</v>
      </c>
      <c r="N226" s="80">
        <f t="shared" si="133"/>
        <v>33.857441999999999</v>
      </c>
      <c r="O226" s="78">
        <f t="shared" si="134"/>
        <v>2133.0188459999999</v>
      </c>
      <c r="P226" s="81">
        <f t="shared" si="135"/>
        <v>2975.108346</v>
      </c>
      <c r="Q226" s="96"/>
    </row>
    <row r="227" spans="1:17" customFormat="1">
      <c r="A227" s="36" t="str">
        <f>IF(TRIM(G227)&lt;&gt;"",COUNTA(G$7:$G227)&amp;"","")</f>
        <v>160</v>
      </c>
      <c r="B227" s="37"/>
      <c r="C227" s="6"/>
      <c r="D227" s="38"/>
      <c r="E227" s="43" t="s">
        <v>221</v>
      </c>
      <c r="F227" s="40">
        <v>10</v>
      </c>
      <c r="G227" s="44" t="s">
        <v>82</v>
      </c>
      <c r="H227" s="42">
        <v>0.05</v>
      </c>
      <c r="I227" s="76">
        <f t="shared" si="130"/>
        <v>10.5</v>
      </c>
      <c r="J227" s="77">
        <v>5.8624999999999998</v>
      </c>
      <c r="K227" s="78">
        <f t="shared" si="132"/>
        <v>61.556249999999999</v>
      </c>
      <c r="L227" s="79">
        <v>101.67400000000001</v>
      </c>
      <c r="M227" s="84">
        <v>0.27100000000000002</v>
      </c>
      <c r="N227" s="80">
        <f t="shared" si="133"/>
        <v>27.553654000000002</v>
      </c>
      <c r="O227" s="78">
        <f t="shared" si="134"/>
        <v>289.31336700000003</v>
      </c>
      <c r="P227" s="81">
        <f t="shared" si="135"/>
        <v>350.86961700000001</v>
      </c>
      <c r="Q227" s="96"/>
    </row>
    <row r="228" spans="1:17" customFormat="1">
      <c r="A228" s="36" t="str">
        <f>IF(TRIM(G228)&lt;&gt;"",COUNTA(G$7:$G228)&amp;"","")</f>
        <v>161</v>
      </c>
      <c r="B228" s="37"/>
      <c r="C228" s="6"/>
      <c r="D228" s="38"/>
      <c r="E228" s="43" t="s">
        <v>222</v>
      </c>
      <c r="F228" s="40">
        <v>15</v>
      </c>
      <c r="G228" s="44" t="s">
        <v>82</v>
      </c>
      <c r="H228" s="42">
        <v>0.05</v>
      </c>
      <c r="I228" s="76">
        <f t="shared" si="130"/>
        <v>15.75</v>
      </c>
      <c r="J228" s="77">
        <v>10.1304</v>
      </c>
      <c r="K228" s="78">
        <f t="shared" si="132"/>
        <v>159.5538</v>
      </c>
      <c r="L228" s="79">
        <v>101.67400000000001</v>
      </c>
      <c r="M228" s="84">
        <v>0.30199999999999999</v>
      </c>
      <c r="N228" s="80">
        <f t="shared" si="133"/>
        <v>30.705548</v>
      </c>
      <c r="O228" s="78">
        <f t="shared" si="134"/>
        <v>483.61238100000003</v>
      </c>
      <c r="P228" s="81">
        <f t="shared" si="135"/>
        <v>643.16618100000005</v>
      </c>
      <c r="Q228" s="96"/>
    </row>
    <row r="229" spans="1:17" customFormat="1">
      <c r="A229" s="36" t="str">
        <f>IF(TRIM(G229)&lt;&gt;"",COUNTA(G$7:$G229)&amp;"","")</f>
        <v>162</v>
      </c>
      <c r="B229" s="37"/>
      <c r="C229" s="6"/>
      <c r="D229" s="38"/>
      <c r="E229" s="43" t="s">
        <v>223</v>
      </c>
      <c r="F229" s="40">
        <v>70</v>
      </c>
      <c r="G229" s="44" t="s">
        <v>82</v>
      </c>
      <c r="H229" s="42">
        <v>0.05</v>
      </c>
      <c r="I229" s="76">
        <f t="shared" si="130"/>
        <v>73.5</v>
      </c>
      <c r="J229" s="77">
        <v>5.8624999999999998</v>
      </c>
      <c r="K229" s="78">
        <f t="shared" si="132"/>
        <v>430.89375000000001</v>
      </c>
      <c r="L229" s="79">
        <v>101.67400000000001</v>
      </c>
      <c r="M229" s="84">
        <v>0.27100000000000002</v>
      </c>
      <c r="N229" s="80">
        <f t="shared" si="133"/>
        <v>27.553654000000002</v>
      </c>
      <c r="O229" s="78">
        <f t="shared" si="134"/>
        <v>2025.193569</v>
      </c>
      <c r="P229" s="81">
        <f t="shared" si="135"/>
        <v>2456.0873190000002</v>
      </c>
      <c r="Q229" s="96"/>
    </row>
    <row r="230" spans="1:17" customFormat="1">
      <c r="A230" s="36" t="str">
        <f>IF(TRIM(G230)&lt;&gt;"",COUNTA(G$7:$G230)&amp;"","")</f>
        <v>163</v>
      </c>
      <c r="B230" s="37"/>
      <c r="C230" s="6"/>
      <c r="D230" s="38"/>
      <c r="E230" s="43" t="s">
        <v>224</v>
      </c>
      <c r="F230" s="40">
        <v>105</v>
      </c>
      <c r="G230" s="44" t="s">
        <v>82</v>
      </c>
      <c r="H230" s="42">
        <v>0.05</v>
      </c>
      <c r="I230" s="76">
        <f t="shared" si="130"/>
        <v>110.25</v>
      </c>
      <c r="J230" s="77">
        <v>5.8624999999999998</v>
      </c>
      <c r="K230" s="78">
        <f t="shared" si="132"/>
        <v>646.34062500000005</v>
      </c>
      <c r="L230" s="79">
        <v>101.67400000000001</v>
      </c>
      <c r="M230" s="84">
        <v>0.27100000000000002</v>
      </c>
      <c r="N230" s="80">
        <f t="shared" si="133"/>
        <v>27.553654000000002</v>
      </c>
      <c r="O230" s="78">
        <f t="shared" si="134"/>
        <v>3037.7903535</v>
      </c>
      <c r="P230" s="81">
        <f t="shared" si="135"/>
        <v>3684.1309784999999</v>
      </c>
      <c r="Q230" s="96"/>
    </row>
    <row r="231" spans="1:17" customFormat="1">
      <c r="A231" s="36" t="str">
        <f>IF(TRIM(G231)&lt;&gt;"",COUNTA(G$7:$G231)&amp;"","")</f>
        <v>164</v>
      </c>
      <c r="B231" s="37"/>
      <c r="C231" s="6"/>
      <c r="D231" s="38"/>
      <c r="E231" s="43" t="s">
        <v>225</v>
      </c>
      <c r="F231" s="40">
        <v>40</v>
      </c>
      <c r="G231" s="44" t="s">
        <v>82</v>
      </c>
      <c r="H231" s="42">
        <v>0.05</v>
      </c>
      <c r="I231" s="76">
        <f t="shared" si="130"/>
        <v>42</v>
      </c>
      <c r="J231" s="77">
        <v>10.1304</v>
      </c>
      <c r="K231" s="78">
        <f t="shared" si="132"/>
        <v>425.47680000000003</v>
      </c>
      <c r="L231" s="79">
        <v>101.67400000000001</v>
      </c>
      <c r="M231" s="84">
        <v>0.30199999999999999</v>
      </c>
      <c r="N231" s="80">
        <f t="shared" si="133"/>
        <v>30.705548</v>
      </c>
      <c r="O231" s="78">
        <f t="shared" si="134"/>
        <v>1289.633016</v>
      </c>
      <c r="P231" s="81">
        <f t="shared" si="135"/>
        <v>1715.1098159999999</v>
      </c>
      <c r="Q231" s="96"/>
    </row>
    <row r="232" spans="1:17" customFormat="1">
      <c r="A232" s="36" t="str">
        <f>IF(TRIM(G232)&lt;&gt;"",COUNTA(G$7:$G232)&amp;"","")</f>
        <v>165</v>
      </c>
      <c r="B232" s="37"/>
      <c r="C232" s="6"/>
      <c r="D232" s="38"/>
      <c r="E232" s="43" t="s">
        <v>226</v>
      </c>
      <c r="F232" s="40">
        <v>55</v>
      </c>
      <c r="G232" s="44" t="s">
        <v>82</v>
      </c>
      <c r="H232" s="42">
        <v>0.05</v>
      </c>
      <c r="I232" s="76">
        <f t="shared" si="130"/>
        <v>57.75</v>
      </c>
      <c r="J232" s="77">
        <v>3.6769599999999998</v>
      </c>
      <c r="K232" s="78">
        <f t="shared" si="132"/>
        <v>212.34443999999999</v>
      </c>
      <c r="L232" s="79">
        <v>112.98085</v>
      </c>
      <c r="M232" s="84">
        <v>0.14799999999999999</v>
      </c>
      <c r="N232" s="80">
        <f t="shared" si="133"/>
        <v>16.721165800000001</v>
      </c>
      <c r="O232" s="78">
        <f t="shared" si="134"/>
        <v>965.64732494999998</v>
      </c>
      <c r="P232" s="81">
        <f t="shared" si="135"/>
        <v>1177.9917649500001</v>
      </c>
      <c r="Q232" s="96"/>
    </row>
    <row r="233" spans="1:17" customFormat="1">
      <c r="A233" s="36" t="str">
        <f>IF(TRIM(G233)&lt;&gt;"",COUNTA(G$7:$G233)&amp;"","")</f>
        <v>166</v>
      </c>
      <c r="B233" s="37"/>
      <c r="C233" s="6"/>
      <c r="D233" s="38"/>
      <c r="E233" s="43" t="s">
        <v>227</v>
      </c>
      <c r="F233" s="40">
        <v>20</v>
      </c>
      <c r="G233" s="44" t="s">
        <v>82</v>
      </c>
      <c r="H233" s="42">
        <v>0.05</v>
      </c>
      <c r="I233" s="76">
        <f t="shared" si="130"/>
        <v>21</v>
      </c>
      <c r="J233" s="77">
        <v>5.1589999999999998</v>
      </c>
      <c r="K233" s="78">
        <f t="shared" si="132"/>
        <v>108.339</v>
      </c>
      <c r="L233" s="79">
        <v>112.98085</v>
      </c>
      <c r="M233" s="84">
        <v>0.157</v>
      </c>
      <c r="N233" s="80">
        <f t="shared" si="133"/>
        <v>17.737993450000001</v>
      </c>
      <c r="O233" s="78">
        <f t="shared" si="134"/>
        <v>372.49786245000001</v>
      </c>
      <c r="P233" s="81">
        <f t="shared" si="135"/>
        <v>480.83686245000001</v>
      </c>
      <c r="Q233" s="96"/>
    </row>
    <row r="234" spans="1:17" customFormat="1">
      <c r="A234" s="36" t="str">
        <f>IF(TRIM(G234)&lt;&gt;"",COUNTA(G$7:$G234)&amp;"","")</f>
        <v>167</v>
      </c>
      <c r="B234" s="37"/>
      <c r="C234" s="6"/>
      <c r="D234" s="38"/>
      <c r="E234" s="43" t="s">
        <v>228</v>
      </c>
      <c r="F234" s="40">
        <v>90</v>
      </c>
      <c r="G234" s="44" t="s">
        <v>82</v>
      </c>
      <c r="H234" s="42">
        <v>0.05</v>
      </c>
      <c r="I234" s="76">
        <f t="shared" si="130"/>
        <v>94.5</v>
      </c>
      <c r="J234" s="77">
        <v>7.0819000000000001</v>
      </c>
      <c r="K234" s="78">
        <f t="shared" si="132"/>
        <v>669.23955000000001</v>
      </c>
      <c r="L234" s="79">
        <v>112.98085</v>
      </c>
      <c r="M234" s="84">
        <v>0.17599999999999999</v>
      </c>
      <c r="N234" s="80">
        <f t="shared" si="133"/>
        <v>19.8846296</v>
      </c>
      <c r="O234" s="78">
        <f t="shared" si="134"/>
        <v>1879.0974971999999</v>
      </c>
      <c r="P234" s="81">
        <f t="shared" si="135"/>
        <v>2548.3370472000001</v>
      </c>
      <c r="Q234" s="96"/>
    </row>
    <row r="235" spans="1:17" customFormat="1">
      <c r="A235" s="36" t="str">
        <f>IF(TRIM(G235)&lt;&gt;"",COUNTA(G$7:$G235)&amp;"","")</f>
        <v>168</v>
      </c>
      <c r="B235" s="37"/>
      <c r="C235" s="6"/>
      <c r="D235" s="38"/>
      <c r="E235" s="43" t="s">
        <v>229</v>
      </c>
      <c r="F235" s="40">
        <v>50</v>
      </c>
      <c r="G235" s="44" t="s">
        <v>82</v>
      </c>
      <c r="H235" s="42">
        <v>0.05</v>
      </c>
      <c r="I235" s="76">
        <f t="shared" si="130"/>
        <v>52.5</v>
      </c>
      <c r="J235" s="77">
        <v>3.6769599999999998</v>
      </c>
      <c r="K235" s="78">
        <f t="shared" si="132"/>
        <v>193.04040000000001</v>
      </c>
      <c r="L235" s="79">
        <v>112.98085</v>
      </c>
      <c r="M235" s="84">
        <v>0.14799999999999999</v>
      </c>
      <c r="N235" s="80">
        <f t="shared" si="133"/>
        <v>16.721165800000001</v>
      </c>
      <c r="O235" s="78">
        <f t="shared" si="134"/>
        <v>877.86120449999999</v>
      </c>
      <c r="P235" s="81">
        <f t="shared" si="135"/>
        <v>1070.9016045000001</v>
      </c>
      <c r="Q235" s="96"/>
    </row>
    <row r="236" spans="1:17" customFormat="1">
      <c r="A236" s="36" t="str">
        <f>IF(TRIM(G236)&lt;&gt;"",COUNTA(G$7:$G236)&amp;"","")</f>
        <v>169</v>
      </c>
      <c r="B236" s="37"/>
      <c r="C236" s="6"/>
      <c r="D236" s="38"/>
      <c r="E236" s="43" t="s">
        <v>230</v>
      </c>
      <c r="F236" s="40">
        <v>20</v>
      </c>
      <c r="G236" s="44" t="s">
        <v>82</v>
      </c>
      <c r="H236" s="42">
        <v>0.05</v>
      </c>
      <c r="I236" s="76">
        <f t="shared" si="130"/>
        <v>21</v>
      </c>
      <c r="J236" s="77">
        <v>5.1589999999999998</v>
      </c>
      <c r="K236" s="78">
        <f t="shared" si="132"/>
        <v>108.339</v>
      </c>
      <c r="L236" s="79">
        <v>112.98085</v>
      </c>
      <c r="M236" s="84">
        <v>0.157</v>
      </c>
      <c r="N236" s="80">
        <f t="shared" si="133"/>
        <v>17.737993450000001</v>
      </c>
      <c r="O236" s="78">
        <f t="shared" si="134"/>
        <v>372.49786245000001</v>
      </c>
      <c r="P236" s="81">
        <f t="shared" si="135"/>
        <v>480.83686245000001</v>
      </c>
      <c r="Q236" s="96"/>
    </row>
    <row r="237" spans="1:17" customFormat="1">
      <c r="A237" s="36" t="str">
        <f>IF(TRIM(G237)&lt;&gt;"",COUNTA(G$7:$G237)&amp;"","")</f>
        <v>170</v>
      </c>
      <c r="B237" s="37"/>
      <c r="C237" s="6"/>
      <c r="D237" s="38"/>
      <c r="E237" s="43" t="s">
        <v>231</v>
      </c>
      <c r="F237" s="40">
        <v>15</v>
      </c>
      <c r="G237" s="44" t="s">
        <v>82</v>
      </c>
      <c r="H237" s="42">
        <v>0.05</v>
      </c>
      <c r="I237" s="76">
        <f t="shared" si="130"/>
        <v>15.75</v>
      </c>
      <c r="J237" s="77">
        <v>7.0819000000000001</v>
      </c>
      <c r="K237" s="78">
        <f t="shared" si="132"/>
        <v>111.539925</v>
      </c>
      <c r="L237" s="79">
        <v>112.98085</v>
      </c>
      <c r="M237" s="84">
        <v>0.17599999999999999</v>
      </c>
      <c r="N237" s="80">
        <f t="shared" si="133"/>
        <v>19.8846296</v>
      </c>
      <c r="O237" s="78">
        <f t="shared" si="134"/>
        <v>313.18291620000002</v>
      </c>
      <c r="P237" s="81">
        <f t="shared" si="135"/>
        <v>424.7228412</v>
      </c>
      <c r="Q237" s="96"/>
    </row>
    <row r="238" spans="1:17" customFormat="1">
      <c r="A238" s="36" t="str">
        <f>IF(TRIM(G238)&lt;&gt;"",COUNTA(G$7:$G238)&amp;"","")</f>
        <v>171</v>
      </c>
      <c r="B238" s="37"/>
      <c r="C238" s="6"/>
      <c r="D238" s="38"/>
      <c r="E238" s="43" t="s">
        <v>232</v>
      </c>
      <c r="F238" s="40">
        <v>70</v>
      </c>
      <c r="G238" s="44" t="s">
        <v>82</v>
      </c>
      <c r="H238" s="42">
        <v>0.05</v>
      </c>
      <c r="I238" s="76">
        <f t="shared" si="130"/>
        <v>73.5</v>
      </c>
      <c r="J238" s="77">
        <v>3.6769599999999998</v>
      </c>
      <c r="K238" s="78">
        <f t="shared" si="132"/>
        <v>270.25655999999998</v>
      </c>
      <c r="L238" s="79">
        <v>112.98085</v>
      </c>
      <c r="M238" s="84">
        <v>0.14799999999999999</v>
      </c>
      <c r="N238" s="80">
        <f t="shared" si="133"/>
        <v>16.721165800000001</v>
      </c>
      <c r="O238" s="78">
        <f t="shared" si="134"/>
        <v>1229.0056863</v>
      </c>
      <c r="P238" s="81">
        <f t="shared" si="135"/>
        <v>1499.2622463</v>
      </c>
      <c r="Q238" s="96"/>
    </row>
    <row r="239" spans="1:17" customFormat="1">
      <c r="A239" s="36" t="str">
        <f>IF(TRIM(G239)&lt;&gt;"",COUNTA(G$7:$G239)&amp;"","")</f>
        <v>172</v>
      </c>
      <c r="B239" s="37"/>
      <c r="C239" s="6"/>
      <c r="D239" s="38"/>
      <c r="E239" s="43" t="s">
        <v>233</v>
      </c>
      <c r="F239" s="40">
        <v>5</v>
      </c>
      <c r="G239" s="44" t="s">
        <v>82</v>
      </c>
      <c r="H239" s="42">
        <v>0.05</v>
      </c>
      <c r="I239" s="76">
        <f t="shared" si="130"/>
        <v>5.25</v>
      </c>
      <c r="J239" s="77">
        <v>5.1589999999999998</v>
      </c>
      <c r="K239" s="78">
        <f t="shared" si="132"/>
        <v>27.08475</v>
      </c>
      <c r="L239" s="79">
        <v>112.98085</v>
      </c>
      <c r="M239" s="84">
        <v>0.157</v>
      </c>
      <c r="N239" s="80">
        <f t="shared" si="133"/>
        <v>17.737993450000001</v>
      </c>
      <c r="O239" s="78">
        <f t="shared" si="134"/>
        <v>93.124465612500003</v>
      </c>
      <c r="P239" s="81">
        <f t="shared" si="135"/>
        <v>120.2092156125</v>
      </c>
      <c r="Q239" s="96"/>
    </row>
    <row r="240" spans="1:17" customFormat="1">
      <c r="A240" s="36" t="str">
        <f>IF(TRIM(G240)&lt;&gt;"",COUNTA(G$7:$G240)&amp;"","")</f>
        <v>173</v>
      </c>
      <c r="B240" s="37"/>
      <c r="C240" s="6"/>
      <c r="D240" s="38"/>
      <c r="E240" s="43" t="s">
        <v>234</v>
      </c>
      <c r="F240" s="40">
        <v>30</v>
      </c>
      <c r="G240" s="44" t="s">
        <v>82</v>
      </c>
      <c r="H240" s="42">
        <v>0.05</v>
      </c>
      <c r="I240" s="76">
        <f t="shared" si="130"/>
        <v>31.5</v>
      </c>
      <c r="J240" s="77">
        <v>7.0819000000000001</v>
      </c>
      <c r="K240" s="78">
        <f t="shared" si="132"/>
        <v>223.07984999999999</v>
      </c>
      <c r="L240" s="79">
        <v>112.98085</v>
      </c>
      <c r="M240" s="84">
        <v>0.17599999999999999</v>
      </c>
      <c r="N240" s="80">
        <f t="shared" si="133"/>
        <v>19.8846296</v>
      </c>
      <c r="O240" s="78">
        <f t="shared" si="134"/>
        <v>626.36583240000004</v>
      </c>
      <c r="P240" s="81">
        <f t="shared" si="135"/>
        <v>849.44568240000001</v>
      </c>
      <c r="Q240" s="96"/>
    </row>
    <row r="241" spans="1:17" customFormat="1">
      <c r="A241" s="36" t="str">
        <f>IF(TRIM(G241)&lt;&gt;"",COUNTA(G$7:$G241)&amp;"","")</f>
        <v>174</v>
      </c>
      <c r="B241" s="37"/>
      <c r="C241" s="6"/>
      <c r="D241" s="38"/>
      <c r="E241" s="43" t="s">
        <v>235</v>
      </c>
      <c r="F241" s="40">
        <v>40</v>
      </c>
      <c r="G241" s="44" t="s">
        <v>82</v>
      </c>
      <c r="H241" s="42">
        <v>0.05</v>
      </c>
      <c r="I241" s="76">
        <f t="shared" si="130"/>
        <v>42</v>
      </c>
      <c r="J241" s="77">
        <v>3.6769599999999998</v>
      </c>
      <c r="K241" s="78">
        <f t="shared" si="132"/>
        <v>154.43232</v>
      </c>
      <c r="L241" s="79">
        <v>112.98085</v>
      </c>
      <c r="M241" s="84">
        <v>0.14799999999999999</v>
      </c>
      <c r="N241" s="80">
        <f t="shared" si="133"/>
        <v>16.721165800000001</v>
      </c>
      <c r="O241" s="78">
        <f t="shared" si="134"/>
        <v>702.28896359999999</v>
      </c>
      <c r="P241" s="81">
        <f t="shared" si="135"/>
        <v>856.72128359999999</v>
      </c>
      <c r="Q241" s="96"/>
    </row>
    <row r="242" spans="1:17" customFormat="1">
      <c r="A242" s="36" t="str">
        <f>IF(TRIM(G242)&lt;&gt;"",COUNTA(G$7:$G242)&amp;"","")</f>
        <v>175</v>
      </c>
      <c r="B242" s="37"/>
      <c r="C242" s="6"/>
      <c r="D242" s="38"/>
      <c r="E242" s="43" t="s">
        <v>236</v>
      </c>
      <c r="F242" s="40">
        <v>35</v>
      </c>
      <c r="G242" s="44" t="s">
        <v>82</v>
      </c>
      <c r="H242" s="42">
        <v>0.05</v>
      </c>
      <c r="I242" s="76">
        <f t="shared" si="130"/>
        <v>36.75</v>
      </c>
      <c r="J242" s="77">
        <v>3.6769599999999998</v>
      </c>
      <c r="K242" s="78">
        <f t="shared" si="132"/>
        <v>135.12827999999999</v>
      </c>
      <c r="L242" s="79">
        <v>112.98085</v>
      </c>
      <c r="M242" s="84">
        <v>0.14799999999999999</v>
      </c>
      <c r="N242" s="80">
        <f t="shared" si="133"/>
        <v>16.721165800000001</v>
      </c>
      <c r="O242" s="78">
        <f t="shared" si="134"/>
        <v>614.50284314999999</v>
      </c>
      <c r="P242" s="81">
        <f t="shared" si="135"/>
        <v>749.63112315000001</v>
      </c>
      <c r="Q242" s="96"/>
    </row>
    <row r="243" spans="1:17" customFormat="1">
      <c r="A243" s="36" t="str">
        <f>IF(TRIM(G243)&lt;&gt;"",COUNTA(G$7:$G243)&amp;"","")</f>
        <v>176</v>
      </c>
      <c r="B243" s="37"/>
      <c r="C243" s="6"/>
      <c r="D243" s="38"/>
      <c r="E243" s="43" t="s">
        <v>237</v>
      </c>
      <c r="F243" s="40">
        <v>30</v>
      </c>
      <c r="G243" s="44" t="s">
        <v>82</v>
      </c>
      <c r="H243" s="42">
        <v>0.05</v>
      </c>
      <c r="I243" s="76">
        <f t="shared" si="130"/>
        <v>31.5</v>
      </c>
      <c r="J243" s="77">
        <v>5.1589999999999998</v>
      </c>
      <c r="K243" s="78">
        <f t="shared" si="132"/>
        <v>162.5085</v>
      </c>
      <c r="L243" s="79">
        <v>112.98085</v>
      </c>
      <c r="M243" s="84">
        <v>0.157</v>
      </c>
      <c r="N243" s="80">
        <f t="shared" si="133"/>
        <v>17.737993450000001</v>
      </c>
      <c r="O243" s="78">
        <f t="shared" si="134"/>
        <v>558.74679367500005</v>
      </c>
      <c r="P243" s="81">
        <f t="shared" si="135"/>
        <v>721.25529367499996</v>
      </c>
      <c r="Q243" s="96"/>
    </row>
    <row r="244" spans="1:17" customFormat="1">
      <c r="A244" s="36" t="str">
        <f>IF(TRIM(G244)&lt;&gt;"",COUNTA(G$7:$G244)&amp;"","")</f>
        <v/>
      </c>
      <c r="B244" s="37"/>
      <c r="C244" s="6"/>
      <c r="D244" s="38"/>
      <c r="E244" s="43"/>
      <c r="F244" s="40"/>
      <c r="G244" s="44"/>
      <c r="H244" s="42"/>
      <c r="I244" s="76"/>
      <c r="J244" s="77"/>
      <c r="K244" s="78"/>
      <c r="L244" s="79"/>
      <c r="M244" s="84"/>
      <c r="N244" s="80"/>
      <c r="O244" s="78"/>
      <c r="P244" s="81"/>
      <c r="Q244" s="96"/>
    </row>
    <row r="245" spans="1:17" s="7" customFormat="1" ht="19.2" customHeight="1">
      <c r="A245" s="36" t="str">
        <f>IF(TRIM(G245)&lt;&gt;"",COUNTA(G$7:$G245)&amp;"","")</f>
        <v/>
      </c>
      <c r="B245" s="37"/>
      <c r="C245" s="37"/>
      <c r="D245" s="38"/>
      <c r="E245" s="102" t="s">
        <v>238</v>
      </c>
      <c r="F245" s="40"/>
      <c r="G245" s="41"/>
      <c r="H245" s="42"/>
      <c r="I245" s="76"/>
      <c r="J245" s="77"/>
      <c r="K245" s="78"/>
      <c r="L245" s="79"/>
      <c r="M245" s="80"/>
      <c r="N245" s="80"/>
      <c r="O245" s="78"/>
      <c r="P245" s="81"/>
      <c r="Q245" s="96"/>
    </row>
    <row r="246" spans="1:17" customFormat="1">
      <c r="A246" s="36" t="str">
        <f>IF(TRIM(G246)&lt;&gt;"",COUNTA(G$7:$G246)&amp;"","")</f>
        <v>177</v>
      </c>
      <c r="B246" s="37"/>
      <c r="C246" s="6"/>
      <c r="D246" s="38"/>
      <c r="E246" s="43" t="s">
        <v>239</v>
      </c>
      <c r="F246" s="40">
        <v>6</v>
      </c>
      <c r="G246" s="44" t="s">
        <v>85</v>
      </c>
      <c r="H246" s="42">
        <v>0</v>
      </c>
      <c r="I246" s="76">
        <f t="shared" ref="I246:I266" si="136">IF(F246=0,"",F246+(F246*H246))</f>
        <v>6</v>
      </c>
      <c r="J246" s="77">
        <v>2.2136800000000001</v>
      </c>
      <c r="K246" s="78">
        <f t="shared" ref="K246:K266" si="137">IF(F246=0,"",J246*I246)</f>
        <v>13.282080000000001</v>
      </c>
      <c r="L246" s="79">
        <v>112.98085</v>
      </c>
      <c r="M246" s="84">
        <v>0.2</v>
      </c>
      <c r="N246" s="80">
        <f t="shared" ref="N246:N266" si="138">L246*M246</f>
        <v>22.596170000000001</v>
      </c>
      <c r="O246" s="78">
        <f t="shared" ref="O246:O266" si="139">I246*N246</f>
        <v>135.57702</v>
      </c>
      <c r="P246" s="81">
        <f t="shared" ref="P246:P266" si="140">K246+O246</f>
        <v>148.85910000000001</v>
      </c>
      <c r="Q246" s="96"/>
    </row>
    <row r="247" spans="1:17" customFormat="1">
      <c r="A247" s="36" t="str">
        <f>IF(TRIM(G247)&lt;&gt;"",COUNTA(G$7:$G247)&amp;"","")</f>
        <v>178</v>
      </c>
      <c r="B247" s="37"/>
      <c r="C247" s="6"/>
      <c r="D247" s="38"/>
      <c r="E247" s="43" t="s">
        <v>240</v>
      </c>
      <c r="F247" s="40">
        <v>20</v>
      </c>
      <c r="G247" s="44" t="s">
        <v>85</v>
      </c>
      <c r="H247" s="42">
        <v>0</v>
      </c>
      <c r="I247" s="76">
        <f t="shared" si="136"/>
        <v>20</v>
      </c>
      <c r="J247" s="77">
        <v>1.8853800000000001</v>
      </c>
      <c r="K247" s="78">
        <f t="shared" si="137"/>
        <v>37.707599999999999</v>
      </c>
      <c r="L247" s="79">
        <v>112.98085</v>
      </c>
      <c r="M247" s="84">
        <v>0.2</v>
      </c>
      <c r="N247" s="80">
        <f t="shared" si="138"/>
        <v>22.596170000000001</v>
      </c>
      <c r="O247" s="78">
        <f t="shared" si="139"/>
        <v>451.92340000000002</v>
      </c>
      <c r="P247" s="81">
        <f t="shared" si="140"/>
        <v>489.63099999999997</v>
      </c>
      <c r="Q247" s="96"/>
    </row>
    <row r="248" spans="1:17" customFormat="1">
      <c r="A248" s="36" t="str">
        <f>IF(TRIM(G248)&lt;&gt;"",COUNTA(G$7:$G248)&amp;"","")</f>
        <v>179</v>
      </c>
      <c r="B248" s="37"/>
      <c r="C248" s="6"/>
      <c r="D248" s="38"/>
      <c r="E248" s="43" t="s">
        <v>241</v>
      </c>
      <c r="F248" s="40">
        <v>5</v>
      </c>
      <c r="G248" s="44" t="s">
        <v>85</v>
      </c>
      <c r="H248" s="42">
        <v>0</v>
      </c>
      <c r="I248" s="76">
        <f t="shared" si="136"/>
        <v>5</v>
      </c>
      <c r="J248" s="77">
        <v>2.3262399999999999</v>
      </c>
      <c r="K248" s="78">
        <f t="shared" si="137"/>
        <v>11.6312</v>
      </c>
      <c r="L248" s="79">
        <v>112.98085</v>
      </c>
      <c r="M248" s="84">
        <v>0.35</v>
      </c>
      <c r="N248" s="80">
        <f t="shared" si="138"/>
        <v>39.543297500000001</v>
      </c>
      <c r="O248" s="78">
        <f t="shared" si="139"/>
        <v>197.7164875</v>
      </c>
      <c r="P248" s="81">
        <f t="shared" si="140"/>
        <v>209.34768750000001</v>
      </c>
      <c r="Q248" s="96"/>
    </row>
    <row r="249" spans="1:17" customFormat="1">
      <c r="A249" s="36" t="str">
        <f>IF(TRIM(G249)&lt;&gt;"",COUNTA(G$7:$G249)&amp;"","")</f>
        <v>180</v>
      </c>
      <c r="B249" s="37"/>
      <c r="C249" s="6"/>
      <c r="D249" s="38"/>
      <c r="E249" s="43" t="s">
        <v>242</v>
      </c>
      <c r="F249" s="40">
        <v>1</v>
      </c>
      <c r="G249" s="44" t="s">
        <v>85</v>
      </c>
      <c r="H249" s="42">
        <v>0</v>
      </c>
      <c r="I249" s="76">
        <f t="shared" si="136"/>
        <v>1</v>
      </c>
      <c r="J249" s="77">
        <v>7.6540800000000004</v>
      </c>
      <c r="K249" s="78">
        <f t="shared" si="137"/>
        <v>7.6540800000000004</v>
      </c>
      <c r="L249" s="79">
        <v>112.98085</v>
      </c>
      <c r="M249" s="84">
        <v>0.35</v>
      </c>
      <c r="N249" s="80">
        <f t="shared" si="138"/>
        <v>39.543297500000001</v>
      </c>
      <c r="O249" s="78">
        <f t="shared" si="139"/>
        <v>39.543297500000001</v>
      </c>
      <c r="P249" s="81">
        <f t="shared" si="140"/>
        <v>47.197377500000002</v>
      </c>
      <c r="Q249" s="96"/>
    </row>
    <row r="250" spans="1:17" customFormat="1">
      <c r="A250" s="36" t="str">
        <f>IF(TRIM(G250)&lt;&gt;"",COUNTA(G$7:$G250)&amp;"","")</f>
        <v>181</v>
      </c>
      <c r="B250" s="37"/>
      <c r="C250" s="6"/>
      <c r="D250" s="38"/>
      <c r="E250" s="43" t="s">
        <v>243</v>
      </c>
      <c r="F250" s="40">
        <v>14</v>
      </c>
      <c r="G250" s="44" t="s">
        <v>85</v>
      </c>
      <c r="H250" s="42">
        <v>0</v>
      </c>
      <c r="I250" s="76">
        <f t="shared" si="136"/>
        <v>14</v>
      </c>
      <c r="J250" s="77">
        <v>8.9391400000000001</v>
      </c>
      <c r="K250" s="78">
        <f t="shared" si="137"/>
        <v>125.14796</v>
      </c>
      <c r="L250" s="79">
        <v>112.98085</v>
      </c>
      <c r="M250" s="84">
        <v>0.3</v>
      </c>
      <c r="N250" s="80">
        <f t="shared" si="138"/>
        <v>33.894255000000001</v>
      </c>
      <c r="O250" s="78">
        <f t="shared" si="139"/>
        <v>474.51956999999999</v>
      </c>
      <c r="P250" s="81">
        <f t="shared" si="140"/>
        <v>599.66753000000006</v>
      </c>
      <c r="Q250" s="96"/>
    </row>
    <row r="251" spans="1:17" customFormat="1">
      <c r="A251" s="36" t="str">
        <f>IF(TRIM(G251)&lt;&gt;"",COUNTA(G$7:$G251)&amp;"","")</f>
        <v>182</v>
      </c>
      <c r="B251" s="37"/>
      <c r="C251" s="6"/>
      <c r="D251" s="38"/>
      <c r="E251" s="43" t="s">
        <v>244</v>
      </c>
      <c r="F251" s="40">
        <v>7</v>
      </c>
      <c r="G251" s="44" t="s">
        <v>85</v>
      </c>
      <c r="H251" s="42">
        <v>0</v>
      </c>
      <c r="I251" s="76">
        <f t="shared" si="136"/>
        <v>7</v>
      </c>
      <c r="J251" s="77">
        <v>6.8783539999999999</v>
      </c>
      <c r="K251" s="78">
        <f t="shared" si="137"/>
        <v>48.148477999999997</v>
      </c>
      <c r="L251" s="79">
        <v>112.98085</v>
      </c>
      <c r="M251" s="84">
        <v>0.3</v>
      </c>
      <c r="N251" s="80">
        <f t="shared" si="138"/>
        <v>33.894255000000001</v>
      </c>
      <c r="O251" s="78">
        <f t="shared" si="139"/>
        <v>237.25978499999999</v>
      </c>
      <c r="P251" s="81">
        <f t="shared" si="140"/>
        <v>285.40826299999998</v>
      </c>
      <c r="Q251" s="96"/>
    </row>
    <row r="252" spans="1:17" customFormat="1">
      <c r="A252" s="36" t="str">
        <f>IF(TRIM(G252)&lt;&gt;"",COUNTA(G$7:$G252)&amp;"","")</f>
        <v>183</v>
      </c>
      <c r="B252" s="37"/>
      <c r="C252" s="6"/>
      <c r="D252" s="38"/>
      <c r="E252" s="43" t="s">
        <v>245</v>
      </c>
      <c r="F252" s="40">
        <v>14</v>
      </c>
      <c r="G252" s="44" t="s">
        <v>85</v>
      </c>
      <c r="H252" s="42">
        <v>0</v>
      </c>
      <c r="I252" s="76">
        <f t="shared" si="136"/>
        <v>14</v>
      </c>
      <c r="J252" s="77">
        <v>12.02516</v>
      </c>
      <c r="K252" s="78">
        <f t="shared" si="137"/>
        <v>168.35223999999999</v>
      </c>
      <c r="L252" s="79">
        <v>112.98085</v>
      </c>
      <c r="M252" s="84">
        <v>0.42</v>
      </c>
      <c r="N252" s="80">
        <f t="shared" si="138"/>
        <v>47.451957</v>
      </c>
      <c r="O252" s="78">
        <f t="shared" si="139"/>
        <v>664.32739800000002</v>
      </c>
      <c r="P252" s="81">
        <f t="shared" si="140"/>
        <v>832.67963799999995</v>
      </c>
      <c r="Q252" s="96"/>
    </row>
    <row r="253" spans="1:17" customFormat="1">
      <c r="A253" s="36" t="str">
        <f>IF(TRIM(G253)&lt;&gt;"",COUNTA(G$7:$G253)&amp;"","")</f>
        <v>184</v>
      </c>
      <c r="B253" s="37"/>
      <c r="C253" s="6"/>
      <c r="D253" s="38"/>
      <c r="E253" s="43" t="s">
        <v>246</v>
      </c>
      <c r="F253" s="40">
        <v>2</v>
      </c>
      <c r="G253" s="44" t="s">
        <v>85</v>
      </c>
      <c r="H253" s="42">
        <v>0</v>
      </c>
      <c r="I253" s="76">
        <f t="shared" si="136"/>
        <v>2</v>
      </c>
      <c r="J253" s="77">
        <v>55.82038</v>
      </c>
      <c r="K253" s="78">
        <f t="shared" si="137"/>
        <v>111.64076</v>
      </c>
      <c r="L253" s="79">
        <v>112.98085</v>
      </c>
      <c r="M253" s="84">
        <v>0.56000000000000005</v>
      </c>
      <c r="N253" s="80">
        <f t="shared" si="138"/>
        <v>63.269275999999998</v>
      </c>
      <c r="O253" s="78">
        <f t="shared" si="139"/>
        <v>126.538552</v>
      </c>
      <c r="P253" s="81">
        <f t="shared" si="140"/>
        <v>238.17931200000001</v>
      </c>
      <c r="Q253" s="96"/>
    </row>
    <row r="254" spans="1:17" customFormat="1">
      <c r="A254" s="36" t="str">
        <f>IF(TRIM(G254)&lt;&gt;"",COUNTA(G$7:$G254)&amp;"","")</f>
        <v>185</v>
      </c>
      <c r="B254" s="37"/>
      <c r="C254" s="6"/>
      <c r="D254" s="38"/>
      <c r="E254" s="43" t="s">
        <v>247</v>
      </c>
      <c r="F254" s="40">
        <v>2</v>
      </c>
      <c r="G254" s="44" t="s">
        <v>85</v>
      </c>
      <c r="H254" s="42">
        <v>0</v>
      </c>
      <c r="I254" s="76">
        <f t="shared" si="136"/>
        <v>2</v>
      </c>
      <c r="J254" s="77">
        <v>36.694560000000003</v>
      </c>
      <c r="K254" s="78">
        <f t="shared" si="137"/>
        <v>73.389120000000005</v>
      </c>
      <c r="L254" s="79">
        <v>112.98085</v>
      </c>
      <c r="M254" s="84">
        <v>0.61199999999999999</v>
      </c>
      <c r="N254" s="80">
        <f t="shared" si="138"/>
        <v>69.144280199999997</v>
      </c>
      <c r="O254" s="78">
        <f t="shared" si="139"/>
        <v>138.28856039999999</v>
      </c>
      <c r="P254" s="81">
        <f t="shared" si="140"/>
        <v>211.67768040000001</v>
      </c>
      <c r="Q254" s="96"/>
    </row>
    <row r="255" spans="1:17" customFormat="1">
      <c r="A255" s="36" t="str">
        <f>IF(TRIM(G255)&lt;&gt;"",COUNTA(G$7:$G255)&amp;"","")</f>
        <v>186</v>
      </c>
      <c r="B255" s="37"/>
      <c r="C255" s="6"/>
      <c r="D255" s="38"/>
      <c r="E255" s="43" t="s">
        <v>248</v>
      </c>
      <c r="F255" s="40">
        <v>3</v>
      </c>
      <c r="G255" s="44" t="s">
        <v>85</v>
      </c>
      <c r="H255" s="42">
        <v>0</v>
      </c>
      <c r="I255" s="76">
        <f t="shared" si="136"/>
        <v>3</v>
      </c>
      <c r="J255" s="77">
        <v>36.694560000000003</v>
      </c>
      <c r="K255" s="78">
        <f t="shared" si="137"/>
        <v>110.08368</v>
      </c>
      <c r="L255" s="79">
        <v>112.98085</v>
      </c>
      <c r="M255" s="84">
        <v>0.61199999999999999</v>
      </c>
      <c r="N255" s="80">
        <f t="shared" si="138"/>
        <v>69.144280199999997</v>
      </c>
      <c r="O255" s="78">
        <f t="shared" si="139"/>
        <v>207.43284059999999</v>
      </c>
      <c r="P255" s="81">
        <f t="shared" si="140"/>
        <v>317.51652059999998</v>
      </c>
      <c r="Q255" s="96"/>
    </row>
    <row r="256" spans="1:17" customFormat="1">
      <c r="A256" s="36" t="str">
        <f>IF(TRIM(G256)&lt;&gt;"",COUNTA(G$7:$G256)&amp;"","")</f>
        <v>187</v>
      </c>
      <c r="B256" s="37"/>
      <c r="C256" s="6"/>
      <c r="D256" s="38"/>
      <c r="E256" s="43" t="s">
        <v>249</v>
      </c>
      <c r="F256" s="40">
        <v>6</v>
      </c>
      <c r="G256" s="44" t="s">
        <v>85</v>
      </c>
      <c r="H256" s="42">
        <v>0</v>
      </c>
      <c r="I256" s="76">
        <f t="shared" si="136"/>
        <v>6</v>
      </c>
      <c r="J256" s="77">
        <v>42.716520000000003</v>
      </c>
      <c r="K256" s="78">
        <f t="shared" si="137"/>
        <v>256.29912000000002</v>
      </c>
      <c r="L256" s="79">
        <v>112.98085</v>
      </c>
      <c r="M256" s="84">
        <v>0.68500000000000005</v>
      </c>
      <c r="N256" s="80">
        <f t="shared" si="138"/>
        <v>77.391882249999995</v>
      </c>
      <c r="O256" s="78">
        <f t="shared" si="139"/>
        <v>464.3512935</v>
      </c>
      <c r="P256" s="81">
        <f t="shared" si="140"/>
        <v>720.65041350000001</v>
      </c>
      <c r="Q256" s="96"/>
    </row>
    <row r="257" spans="1:17" customFormat="1">
      <c r="A257" s="36" t="str">
        <f>IF(TRIM(G257)&lt;&gt;"",COUNTA(G$7:$G257)&amp;"","")</f>
        <v>188</v>
      </c>
      <c r="B257" s="37"/>
      <c r="C257" s="6"/>
      <c r="D257" s="38"/>
      <c r="E257" s="43" t="s">
        <v>250</v>
      </c>
      <c r="F257" s="40">
        <v>31</v>
      </c>
      <c r="G257" s="44" t="s">
        <v>85</v>
      </c>
      <c r="H257" s="42">
        <v>0</v>
      </c>
      <c r="I257" s="76">
        <f t="shared" si="136"/>
        <v>31</v>
      </c>
      <c r="J257" s="77">
        <v>0.60031999999999996</v>
      </c>
      <c r="K257" s="78">
        <f t="shared" si="137"/>
        <v>18.609919999999999</v>
      </c>
      <c r="L257" s="79">
        <v>112.98085</v>
      </c>
      <c r="M257" s="84">
        <v>0.107</v>
      </c>
      <c r="N257" s="80">
        <f t="shared" si="138"/>
        <v>12.088950949999999</v>
      </c>
      <c r="O257" s="78">
        <f t="shared" si="139"/>
        <v>374.75747945000001</v>
      </c>
      <c r="P257" s="81">
        <f t="shared" si="140"/>
        <v>393.36739944999999</v>
      </c>
      <c r="Q257" s="96"/>
    </row>
    <row r="258" spans="1:17" customFormat="1">
      <c r="A258" s="36" t="str">
        <f>IF(TRIM(G258)&lt;&gt;"",COUNTA(G$7:$G258)&amp;"","")</f>
        <v>189</v>
      </c>
      <c r="B258" s="37"/>
      <c r="C258" s="6"/>
      <c r="D258" s="38"/>
      <c r="E258" s="43" t="s">
        <v>251</v>
      </c>
      <c r="F258" s="40">
        <v>2</v>
      </c>
      <c r="G258" s="44" t="s">
        <v>85</v>
      </c>
      <c r="H258" s="42">
        <v>0</v>
      </c>
      <c r="I258" s="76">
        <f t="shared" si="136"/>
        <v>2</v>
      </c>
      <c r="J258" s="77">
        <v>1.1255999999999999</v>
      </c>
      <c r="K258" s="78">
        <f t="shared" si="137"/>
        <v>2.2511999999999999</v>
      </c>
      <c r="L258" s="79">
        <v>112.98085</v>
      </c>
      <c r="M258" s="84">
        <v>0.129</v>
      </c>
      <c r="N258" s="80">
        <f t="shared" si="138"/>
        <v>14.574529650000001</v>
      </c>
      <c r="O258" s="78">
        <f t="shared" si="139"/>
        <v>29.149059300000001</v>
      </c>
      <c r="P258" s="81">
        <f t="shared" si="140"/>
        <v>31.400259299999998</v>
      </c>
      <c r="Q258" s="96"/>
    </row>
    <row r="259" spans="1:17" customFormat="1">
      <c r="A259" s="36" t="str">
        <f>IF(TRIM(G259)&lt;&gt;"",COUNTA(G$7:$G259)&amp;"","")</f>
        <v>190</v>
      </c>
      <c r="B259" s="37"/>
      <c r="C259" s="6"/>
      <c r="D259" s="38"/>
      <c r="E259" s="43" t="s">
        <v>252</v>
      </c>
      <c r="F259" s="40">
        <v>1</v>
      </c>
      <c r="G259" s="44" t="s">
        <v>85</v>
      </c>
      <c r="H259" s="42">
        <v>0</v>
      </c>
      <c r="I259" s="76">
        <f t="shared" si="136"/>
        <v>1</v>
      </c>
      <c r="J259" s="77">
        <v>6.3784000000000001</v>
      </c>
      <c r="K259" s="78">
        <f t="shared" si="137"/>
        <v>6.3784000000000001</v>
      </c>
      <c r="L259" s="79">
        <v>112.98085</v>
      </c>
      <c r="M259" s="84">
        <v>0.18099999999999999</v>
      </c>
      <c r="N259" s="80">
        <f t="shared" si="138"/>
        <v>20.449533850000002</v>
      </c>
      <c r="O259" s="78">
        <f t="shared" si="139"/>
        <v>20.449533850000002</v>
      </c>
      <c r="P259" s="81">
        <f t="shared" si="140"/>
        <v>26.827933850000001</v>
      </c>
      <c r="Q259" s="96"/>
    </row>
    <row r="260" spans="1:17" customFormat="1">
      <c r="A260" s="36" t="str">
        <f>IF(TRIM(G260)&lt;&gt;"",COUNTA(G$7:$G260)&amp;"","")</f>
        <v>191</v>
      </c>
      <c r="B260" s="37"/>
      <c r="C260" s="6"/>
      <c r="D260" s="38"/>
      <c r="E260" s="43" t="s">
        <v>253</v>
      </c>
      <c r="F260" s="40">
        <v>2</v>
      </c>
      <c r="G260" s="44" t="s">
        <v>85</v>
      </c>
      <c r="H260" s="42">
        <v>0</v>
      </c>
      <c r="I260" s="76">
        <f t="shared" si="136"/>
        <v>2</v>
      </c>
      <c r="J260" s="77">
        <v>2.3543799999999999</v>
      </c>
      <c r="K260" s="78">
        <f t="shared" si="137"/>
        <v>4.7087599999999998</v>
      </c>
      <c r="L260" s="79">
        <v>112.98085</v>
      </c>
      <c r="M260" s="84">
        <v>0.14399999999999999</v>
      </c>
      <c r="N260" s="80">
        <f t="shared" si="138"/>
        <v>16.2692424</v>
      </c>
      <c r="O260" s="78">
        <f t="shared" si="139"/>
        <v>32.538484799999999</v>
      </c>
      <c r="P260" s="81">
        <f t="shared" si="140"/>
        <v>37.247244799999997</v>
      </c>
      <c r="Q260" s="96"/>
    </row>
    <row r="261" spans="1:17" customFormat="1">
      <c r="A261" s="36" t="str">
        <f>IF(TRIM(G261)&lt;&gt;"",COUNTA(G$7:$G261)&amp;"","")</f>
        <v>192</v>
      </c>
      <c r="B261" s="37"/>
      <c r="C261" s="6"/>
      <c r="D261" s="38"/>
      <c r="E261" s="43" t="s">
        <v>254</v>
      </c>
      <c r="F261" s="40">
        <v>9</v>
      </c>
      <c r="G261" s="44" t="s">
        <v>85</v>
      </c>
      <c r="H261" s="42">
        <v>0</v>
      </c>
      <c r="I261" s="76">
        <f t="shared" si="136"/>
        <v>9</v>
      </c>
      <c r="J261" s="77">
        <v>3.1985800000000002</v>
      </c>
      <c r="K261" s="78">
        <f t="shared" si="137"/>
        <v>28.787220000000001</v>
      </c>
      <c r="L261" s="79">
        <v>112.98085</v>
      </c>
      <c r="M261" s="84">
        <v>0.18099999999999999</v>
      </c>
      <c r="N261" s="80">
        <f t="shared" si="138"/>
        <v>20.449533850000002</v>
      </c>
      <c r="O261" s="78">
        <f t="shared" si="139"/>
        <v>184.04580465000001</v>
      </c>
      <c r="P261" s="81">
        <f t="shared" si="140"/>
        <v>212.83302465</v>
      </c>
      <c r="Q261" s="96"/>
    </row>
    <row r="262" spans="1:17" customFormat="1">
      <c r="A262" s="36" t="str">
        <f>IF(TRIM(G262)&lt;&gt;"",COUNTA(G$7:$G262)&amp;"","")</f>
        <v>193</v>
      </c>
      <c r="B262" s="37"/>
      <c r="C262" s="6"/>
      <c r="D262" s="38"/>
      <c r="E262" s="43" t="s">
        <v>255</v>
      </c>
      <c r="F262" s="40">
        <v>1</v>
      </c>
      <c r="G262" s="44" t="s">
        <v>85</v>
      </c>
      <c r="H262" s="42">
        <v>0</v>
      </c>
      <c r="I262" s="76">
        <f t="shared" si="136"/>
        <v>1</v>
      </c>
      <c r="J262" s="77">
        <v>7.6071799999999996</v>
      </c>
      <c r="K262" s="78">
        <f t="shared" si="137"/>
        <v>7.6071799999999996</v>
      </c>
      <c r="L262" s="79">
        <v>112.98085</v>
      </c>
      <c r="M262" s="84">
        <v>0.20699999999999999</v>
      </c>
      <c r="N262" s="80">
        <f t="shared" si="138"/>
        <v>23.387035950000001</v>
      </c>
      <c r="O262" s="78">
        <f t="shared" si="139"/>
        <v>23.387035950000001</v>
      </c>
      <c r="P262" s="81">
        <f t="shared" si="140"/>
        <v>30.994215950000001</v>
      </c>
      <c r="Q262" s="96"/>
    </row>
    <row r="263" spans="1:17" customFormat="1">
      <c r="A263" s="36" t="str">
        <f>IF(TRIM(G263)&lt;&gt;"",COUNTA(G$7:$G263)&amp;"","")</f>
        <v>194</v>
      </c>
      <c r="B263" s="37"/>
      <c r="C263" s="6"/>
      <c r="D263" s="38"/>
      <c r="E263" s="43" t="s">
        <v>256</v>
      </c>
      <c r="F263" s="40">
        <v>13</v>
      </c>
      <c r="G263" s="44" t="s">
        <v>85</v>
      </c>
      <c r="H263" s="42">
        <v>0</v>
      </c>
      <c r="I263" s="76">
        <f t="shared" si="136"/>
        <v>13</v>
      </c>
      <c r="J263" s="77">
        <v>1.7822</v>
      </c>
      <c r="K263" s="78">
        <f t="shared" si="137"/>
        <v>23.168600000000001</v>
      </c>
      <c r="L263" s="79">
        <v>112.98085</v>
      </c>
      <c r="M263" s="84">
        <v>0.193</v>
      </c>
      <c r="N263" s="80">
        <f t="shared" si="138"/>
        <v>21.80530405</v>
      </c>
      <c r="O263" s="78">
        <f t="shared" si="139"/>
        <v>283.46895265000001</v>
      </c>
      <c r="P263" s="81">
        <f t="shared" si="140"/>
        <v>306.63755264999998</v>
      </c>
      <c r="Q263" s="96"/>
    </row>
    <row r="264" spans="1:17" customFormat="1">
      <c r="A264" s="36" t="str">
        <f>IF(TRIM(G264)&lt;&gt;"",COUNTA(G$7:$G264)&amp;"","")</f>
        <v>195</v>
      </c>
      <c r="B264" s="37"/>
      <c r="C264" s="6"/>
      <c r="D264" s="38"/>
      <c r="E264" s="43" t="s">
        <v>257</v>
      </c>
      <c r="F264" s="40">
        <v>1</v>
      </c>
      <c r="G264" s="44" t="s">
        <v>85</v>
      </c>
      <c r="H264" s="42">
        <v>0</v>
      </c>
      <c r="I264" s="76">
        <f t="shared" si="136"/>
        <v>1</v>
      </c>
      <c r="J264" s="77">
        <v>11.66872</v>
      </c>
      <c r="K264" s="78">
        <f t="shared" si="137"/>
        <v>11.66872</v>
      </c>
      <c r="L264" s="79">
        <v>112.98085</v>
      </c>
      <c r="M264" s="84">
        <v>0.23300000000000001</v>
      </c>
      <c r="N264" s="80">
        <f t="shared" si="138"/>
        <v>26.324538050000001</v>
      </c>
      <c r="O264" s="78">
        <f t="shared" si="139"/>
        <v>26.324538050000001</v>
      </c>
      <c r="P264" s="81">
        <f t="shared" si="140"/>
        <v>37.993258050000001</v>
      </c>
      <c r="Q264" s="96"/>
    </row>
    <row r="265" spans="1:17" customFormat="1">
      <c r="A265" s="36" t="str">
        <f>IF(TRIM(G265)&lt;&gt;"",COUNTA(G$7:$G265)&amp;"","")</f>
        <v>196</v>
      </c>
      <c r="B265" s="37"/>
      <c r="C265" s="6"/>
      <c r="D265" s="38"/>
      <c r="E265" s="43" t="s">
        <v>258</v>
      </c>
      <c r="F265" s="40">
        <v>8</v>
      </c>
      <c r="G265" s="44" t="s">
        <v>85</v>
      </c>
      <c r="H265" s="42">
        <v>0</v>
      </c>
      <c r="I265" s="76">
        <f t="shared" si="136"/>
        <v>8</v>
      </c>
      <c r="J265" s="77">
        <v>6.3784000000000001</v>
      </c>
      <c r="K265" s="78">
        <f t="shared" si="137"/>
        <v>51.027200000000001</v>
      </c>
      <c r="L265" s="79">
        <v>112.98085</v>
      </c>
      <c r="M265" s="84">
        <v>0.18099999999999999</v>
      </c>
      <c r="N265" s="80">
        <f t="shared" si="138"/>
        <v>20.449533850000002</v>
      </c>
      <c r="O265" s="78">
        <f t="shared" si="139"/>
        <v>163.59627080000001</v>
      </c>
      <c r="P265" s="81">
        <f t="shared" si="140"/>
        <v>214.62347080000001</v>
      </c>
      <c r="Q265" s="96"/>
    </row>
    <row r="266" spans="1:17" customFormat="1">
      <c r="A266" s="36" t="str">
        <f>IF(TRIM(G266)&lt;&gt;"",COUNTA(G$7:$G266)&amp;"","")</f>
        <v>197</v>
      </c>
      <c r="B266" s="37"/>
      <c r="C266" s="6"/>
      <c r="D266" s="38"/>
      <c r="E266" s="43" t="s">
        <v>259</v>
      </c>
      <c r="F266" s="40">
        <v>2</v>
      </c>
      <c r="G266" s="44" t="s">
        <v>85</v>
      </c>
      <c r="H266" s="42">
        <v>0</v>
      </c>
      <c r="I266" s="76">
        <f t="shared" si="136"/>
        <v>2</v>
      </c>
      <c r="J266" s="77">
        <v>7.6071799999999996</v>
      </c>
      <c r="K266" s="78">
        <f t="shared" si="137"/>
        <v>15.214359999999999</v>
      </c>
      <c r="L266" s="79">
        <v>112.98085</v>
      </c>
      <c r="M266" s="84">
        <v>0.20699999999999999</v>
      </c>
      <c r="N266" s="80">
        <f t="shared" si="138"/>
        <v>23.387035950000001</v>
      </c>
      <c r="O266" s="78">
        <f t="shared" si="139"/>
        <v>46.774071900000003</v>
      </c>
      <c r="P266" s="81">
        <f t="shared" si="140"/>
        <v>61.988431900000002</v>
      </c>
      <c r="Q266" s="96"/>
    </row>
    <row r="267" spans="1:17" customFormat="1">
      <c r="A267" s="36" t="str">
        <f>IF(TRIM(G267)&lt;&gt;"",COUNTA(G$7:$G267)&amp;"","")</f>
        <v/>
      </c>
      <c r="B267" s="37"/>
      <c r="C267" s="100"/>
      <c r="D267" s="38"/>
      <c r="E267" s="103"/>
      <c r="F267" s="40"/>
      <c r="G267" s="44"/>
      <c r="H267" s="42"/>
      <c r="I267" s="76"/>
      <c r="J267" s="77"/>
      <c r="K267" s="78"/>
      <c r="L267" s="79"/>
      <c r="M267" s="84"/>
      <c r="N267" s="80"/>
      <c r="O267" s="78"/>
      <c r="P267" s="81"/>
      <c r="Q267" s="96"/>
    </row>
    <row r="268" spans="1:17" s="7" customFormat="1" ht="19.2" customHeight="1">
      <c r="A268" s="36" t="str">
        <f>IF(TRIM(G268)&lt;&gt;"",COUNTA(G$7:$G268)&amp;"","")</f>
        <v/>
      </c>
      <c r="B268" s="37"/>
      <c r="C268" s="37"/>
      <c r="D268" s="38"/>
      <c r="E268" s="102" t="s">
        <v>260</v>
      </c>
      <c r="F268" s="40"/>
      <c r="G268" s="41"/>
      <c r="H268" s="42"/>
      <c r="I268" s="76"/>
      <c r="J268" s="77"/>
      <c r="K268" s="78"/>
      <c r="L268" s="79"/>
      <c r="M268" s="80"/>
      <c r="N268" s="80"/>
      <c r="O268" s="78"/>
      <c r="P268" s="81"/>
      <c r="Q268" s="96"/>
    </row>
    <row r="269" spans="1:17" customFormat="1" ht="28.8">
      <c r="A269" s="36" t="str">
        <f>IF(TRIM(G269)&lt;&gt;"",COUNTA(G$7:$G269)&amp;"","")</f>
        <v>198</v>
      </c>
      <c r="B269" s="37"/>
      <c r="C269" s="6"/>
      <c r="D269" s="38"/>
      <c r="E269" s="43" t="s">
        <v>261</v>
      </c>
      <c r="F269" s="40">
        <v>1</v>
      </c>
      <c r="G269" s="44" t="s">
        <v>85</v>
      </c>
      <c r="H269" s="42">
        <v>0</v>
      </c>
      <c r="I269" s="76">
        <f t="shared" ref="I269:I280" si="141">IF(F269=0,"",F269+(F269*H269))</f>
        <v>1</v>
      </c>
      <c r="J269" s="77">
        <v>2035.46</v>
      </c>
      <c r="K269" s="78">
        <f t="shared" ref="K269:K280" si="142">IF(F269=0,"",J269*I269)</f>
        <v>2035.46</v>
      </c>
      <c r="L269" s="79">
        <v>101.67400000000001</v>
      </c>
      <c r="M269" s="84">
        <v>8</v>
      </c>
      <c r="N269" s="80">
        <f t="shared" ref="N269:N280" si="143">L269*M269</f>
        <v>813.39200000000005</v>
      </c>
      <c r="O269" s="78">
        <f t="shared" ref="O269:O280" si="144">I269*N269</f>
        <v>813.39200000000005</v>
      </c>
      <c r="P269" s="81">
        <f t="shared" ref="P269:P280" si="145">K269+O269</f>
        <v>2848.8519999999999</v>
      </c>
      <c r="Q269" s="96"/>
    </row>
    <row r="270" spans="1:17" customFormat="1">
      <c r="A270" s="36" t="str">
        <f>IF(TRIM(G270)&lt;&gt;"",COUNTA(G$7:$G270)&amp;"","")</f>
        <v>199</v>
      </c>
      <c r="B270" s="37"/>
      <c r="C270" s="6"/>
      <c r="D270" s="38"/>
      <c r="E270" s="43" t="s">
        <v>262</v>
      </c>
      <c r="F270" s="40">
        <v>1</v>
      </c>
      <c r="G270" s="44" t="s">
        <v>85</v>
      </c>
      <c r="H270" s="42">
        <v>0</v>
      </c>
      <c r="I270" s="76">
        <f t="shared" si="141"/>
        <v>1</v>
      </c>
      <c r="J270" s="77">
        <v>216.678</v>
      </c>
      <c r="K270" s="78">
        <f t="shared" si="142"/>
        <v>216.678</v>
      </c>
      <c r="L270" s="79">
        <v>112.98085</v>
      </c>
      <c r="M270" s="84">
        <v>1</v>
      </c>
      <c r="N270" s="80">
        <f t="shared" si="143"/>
        <v>112.98085</v>
      </c>
      <c r="O270" s="78">
        <f t="shared" si="144"/>
        <v>112.98085</v>
      </c>
      <c r="P270" s="81">
        <f t="shared" si="145"/>
        <v>329.65884999999997</v>
      </c>
      <c r="Q270" s="96"/>
    </row>
    <row r="271" spans="1:17" customFormat="1" ht="28.8">
      <c r="A271" s="36" t="str">
        <f>IF(TRIM(G271)&lt;&gt;"",COUNTA(G$7:$G271)&amp;"","")</f>
        <v>200</v>
      </c>
      <c r="B271" s="37"/>
      <c r="C271" s="6"/>
      <c r="D271" s="38"/>
      <c r="E271" s="43" t="s">
        <v>263</v>
      </c>
      <c r="F271" s="40">
        <v>1</v>
      </c>
      <c r="G271" s="44" t="s">
        <v>85</v>
      </c>
      <c r="H271" s="42">
        <v>0</v>
      </c>
      <c r="I271" s="76">
        <f t="shared" si="141"/>
        <v>1</v>
      </c>
      <c r="J271" s="77">
        <v>347.06</v>
      </c>
      <c r="K271" s="78">
        <f t="shared" si="142"/>
        <v>347.06</v>
      </c>
      <c r="L271" s="79">
        <v>112.98085</v>
      </c>
      <c r="M271" s="84">
        <v>3.4780000000000002</v>
      </c>
      <c r="N271" s="80">
        <f t="shared" si="143"/>
        <v>392.94739629999998</v>
      </c>
      <c r="O271" s="78">
        <f t="shared" si="144"/>
        <v>392.94739629999998</v>
      </c>
      <c r="P271" s="81">
        <f t="shared" si="145"/>
        <v>740.00739629999998</v>
      </c>
      <c r="Q271" s="96"/>
    </row>
    <row r="272" spans="1:17" customFormat="1">
      <c r="A272" s="36" t="str">
        <f>IF(TRIM(G272)&lt;&gt;"",COUNTA(G$7:$G272)&amp;"","")</f>
        <v>201</v>
      </c>
      <c r="B272" s="37"/>
      <c r="C272" s="6"/>
      <c r="D272" s="38"/>
      <c r="E272" s="104" t="s">
        <v>264</v>
      </c>
      <c r="F272" s="40">
        <v>9</v>
      </c>
      <c r="G272" s="44" t="s">
        <v>85</v>
      </c>
      <c r="H272" s="42">
        <v>0</v>
      </c>
      <c r="I272" s="76">
        <f t="shared" si="141"/>
        <v>9</v>
      </c>
      <c r="J272" s="77">
        <v>262.64</v>
      </c>
      <c r="K272" s="78">
        <f t="shared" si="142"/>
        <v>2363.7600000000002</v>
      </c>
      <c r="L272" s="79">
        <v>101.67400000000001</v>
      </c>
      <c r="M272" s="84">
        <v>1.75</v>
      </c>
      <c r="N272" s="80">
        <f t="shared" si="143"/>
        <v>177.92949999999999</v>
      </c>
      <c r="O272" s="78">
        <f t="shared" si="144"/>
        <v>1601.3655000000001</v>
      </c>
      <c r="P272" s="81">
        <f t="shared" si="145"/>
        <v>3965.1255000000001</v>
      </c>
      <c r="Q272" s="96"/>
    </row>
    <row r="273" spans="1:17" customFormat="1">
      <c r="A273" s="36" t="str">
        <f>IF(TRIM(G273)&lt;&gt;"",COUNTA(G$7:$G273)&amp;"","")</f>
        <v>202</v>
      </c>
      <c r="B273" s="37"/>
      <c r="C273" s="6"/>
      <c r="D273" s="38"/>
      <c r="E273" s="104" t="s">
        <v>265</v>
      </c>
      <c r="F273" s="40">
        <v>3</v>
      </c>
      <c r="G273" s="44" t="s">
        <v>85</v>
      </c>
      <c r="H273" s="42">
        <v>0</v>
      </c>
      <c r="I273" s="76">
        <f t="shared" si="141"/>
        <v>3</v>
      </c>
      <c r="J273" s="77">
        <v>248.57</v>
      </c>
      <c r="K273" s="78">
        <f t="shared" si="142"/>
        <v>745.71</v>
      </c>
      <c r="L273" s="79">
        <v>101.67400000000001</v>
      </c>
      <c r="M273" s="84">
        <v>2</v>
      </c>
      <c r="N273" s="80">
        <f t="shared" si="143"/>
        <v>203.34800000000001</v>
      </c>
      <c r="O273" s="78">
        <f t="shared" si="144"/>
        <v>610.04399999999998</v>
      </c>
      <c r="P273" s="81">
        <f t="shared" si="145"/>
        <v>1355.7539999999999</v>
      </c>
      <c r="Q273" s="96"/>
    </row>
    <row r="274" spans="1:17" customFormat="1">
      <c r="A274" s="36" t="str">
        <f>IF(TRIM(G274)&lt;&gt;"",COUNTA(G$7:$G274)&amp;"","")</f>
        <v>203</v>
      </c>
      <c r="B274" s="37"/>
      <c r="C274" s="6"/>
      <c r="D274" s="38"/>
      <c r="E274" s="104" t="s">
        <v>266</v>
      </c>
      <c r="F274" s="40">
        <v>1</v>
      </c>
      <c r="G274" s="44" t="s">
        <v>85</v>
      </c>
      <c r="H274" s="42">
        <v>0</v>
      </c>
      <c r="I274" s="76">
        <f t="shared" si="141"/>
        <v>1</v>
      </c>
      <c r="J274" s="77">
        <v>173.53</v>
      </c>
      <c r="K274" s="78">
        <f t="shared" si="142"/>
        <v>173.53</v>
      </c>
      <c r="L274" s="79">
        <v>112.98085</v>
      </c>
      <c r="M274" s="84">
        <v>0.88</v>
      </c>
      <c r="N274" s="80">
        <f t="shared" si="143"/>
        <v>99.423147999999998</v>
      </c>
      <c r="O274" s="78">
        <f t="shared" si="144"/>
        <v>99.423147999999998</v>
      </c>
      <c r="P274" s="81">
        <f t="shared" si="145"/>
        <v>272.953148</v>
      </c>
      <c r="Q274" s="96"/>
    </row>
    <row r="275" spans="1:17" customFormat="1">
      <c r="A275" s="36" t="str">
        <f>IF(TRIM(G275)&lt;&gt;"",COUNTA(G$7:$G275)&amp;"","")</f>
        <v>204</v>
      </c>
      <c r="B275" s="37"/>
      <c r="C275" s="6"/>
      <c r="D275" s="38"/>
      <c r="E275" s="104" t="s">
        <v>267</v>
      </c>
      <c r="F275" s="40">
        <v>2</v>
      </c>
      <c r="G275" s="44" t="s">
        <v>85</v>
      </c>
      <c r="H275" s="42">
        <v>0</v>
      </c>
      <c r="I275" s="76">
        <f t="shared" si="141"/>
        <v>2</v>
      </c>
      <c r="J275" s="77">
        <v>112.56</v>
      </c>
      <c r="K275" s="78">
        <f t="shared" si="142"/>
        <v>225.12</v>
      </c>
      <c r="L275" s="79">
        <v>112.98085</v>
      </c>
      <c r="M275" s="84">
        <v>1.1200000000000001</v>
      </c>
      <c r="N275" s="80">
        <f t="shared" si="143"/>
        <v>126.538552</v>
      </c>
      <c r="O275" s="78">
        <f t="shared" si="144"/>
        <v>253.07710399999999</v>
      </c>
      <c r="P275" s="81">
        <f t="shared" si="145"/>
        <v>478.19710400000002</v>
      </c>
      <c r="Q275" s="96"/>
    </row>
    <row r="276" spans="1:17" customFormat="1">
      <c r="A276" s="36" t="str">
        <f>IF(TRIM(G276)&lt;&gt;"",COUNTA(G$7:$G276)&amp;"","")</f>
        <v>205</v>
      </c>
      <c r="B276" s="37"/>
      <c r="C276" s="6"/>
      <c r="D276" s="38"/>
      <c r="E276" s="104" t="s">
        <v>268</v>
      </c>
      <c r="F276" s="40">
        <v>1</v>
      </c>
      <c r="G276" s="44" t="s">
        <v>85</v>
      </c>
      <c r="H276" s="42">
        <v>0</v>
      </c>
      <c r="I276" s="76">
        <f t="shared" si="141"/>
        <v>1</v>
      </c>
      <c r="J276" s="77">
        <v>118.188</v>
      </c>
      <c r="K276" s="78">
        <f t="shared" si="142"/>
        <v>118.188</v>
      </c>
      <c r="L276" s="79">
        <v>112.98085</v>
      </c>
      <c r="M276" s="84">
        <v>0.3</v>
      </c>
      <c r="N276" s="80">
        <f t="shared" si="143"/>
        <v>33.894255000000001</v>
      </c>
      <c r="O276" s="78">
        <f t="shared" si="144"/>
        <v>33.894255000000001</v>
      </c>
      <c r="P276" s="81">
        <f t="shared" si="145"/>
        <v>152.082255</v>
      </c>
      <c r="Q276" s="96"/>
    </row>
    <row r="277" spans="1:17" customFormat="1">
      <c r="A277" s="36" t="str">
        <f>IF(TRIM(G277)&lt;&gt;"",COUNTA(G$7:$G277)&amp;"","")</f>
        <v>206</v>
      </c>
      <c r="B277" s="37"/>
      <c r="C277" s="6"/>
      <c r="D277" s="38"/>
      <c r="E277" s="104" t="s">
        <v>269</v>
      </c>
      <c r="F277" s="40">
        <v>1</v>
      </c>
      <c r="G277" s="44" t="s">
        <v>85</v>
      </c>
      <c r="H277" s="42">
        <v>0</v>
      </c>
      <c r="I277" s="76">
        <f t="shared" si="141"/>
        <v>1</v>
      </c>
      <c r="J277" s="77">
        <v>63.783999999999999</v>
      </c>
      <c r="K277" s="78">
        <f t="shared" si="142"/>
        <v>63.783999999999999</v>
      </c>
      <c r="L277" s="79">
        <v>112.98085</v>
      </c>
      <c r="M277" s="84">
        <v>0.36499999999999999</v>
      </c>
      <c r="N277" s="80">
        <f t="shared" si="143"/>
        <v>41.238010250000002</v>
      </c>
      <c r="O277" s="78">
        <f t="shared" si="144"/>
        <v>41.238010250000002</v>
      </c>
      <c r="P277" s="81">
        <f t="shared" si="145"/>
        <v>105.02201024999999</v>
      </c>
      <c r="Q277" s="96"/>
    </row>
    <row r="278" spans="1:17" customFormat="1">
      <c r="A278" s="36" t="str">
        <f>IF(TRIM(G278)&lt;&gt;"",COUNTA(G$7:$G278)&amp;"","")</f>
        <v>207</v>
      </c>
      <c r="B278" s="37"/>
      <c r="C278" s="6"/>
      <c r="D278" s="38"/>
      <c r="E278" s="104" t="s">
        <v>270</v>
      </c>
      <c r="F278" s="40">
        <v>2</v>
      </c>
      <c r="G278" s="44" t="s">
        <v>85</v>
      </c>
      <c r="H278" s="42">
        <v>0</v>
      </c>
      <c r="I278" s="76">
        <f t="shared" si="141"/>
        <v>2</v>
      </c>
      <c r="J278" s="77">
        <v>14.07</v>
      </c>
      <c r="K278" s="78">
        <f t="shared" si="142"/>
        <v>28.14</v>
      </c>
      <c r="L278" s="79">
        <v>112.98085</v>
      </c>
      <c r="M278" s="84">
        <v>0.12</v>
      </c>
      <c r="N278" s="80">
        <f t="shared" si="143"/>
        <v>13.557702000000001</v>
      </c>
      <c r="O278" s="78">
        <f t="shared" si="144"/>
        <v>27.115404000000002</v>
      </c>
      <c r="P278" s="81">
        <f t="shared" si="145"/>
        <v>55.255403999999999</v>
      </c>
      <c r="Q278" s="120"/>
    </row>
    <row r="279" spans="1:17" customFormat="1">
      <c r="A279" s="36" t="str">
        <f>IF(TRIM(G279)&lt;&gt;"",COUNTA(G$7:$G279)&amp;"","")</f>
        <v>208</v>
      </c>
      <c r="B279" s="37"/>
      <c r="C279" s="6"/>
      <c r="D279" s="38"/>
      <c r="E279" s="104" t="s">
        <v>271</v>
      </c>
      <c r="F279" s="40">
        <v>1</v>
      </c>
      <c r="G279" s="44" t="s">
        <v>85</v>
      </c>
      <c r="H279" s="42">
        <v>0</v>
      </c>
      <c r="I279" s="76">
        <f t="shared" si="141"/>
        <v>1</v>
      </c>
      <c r="J279" s="77">
        <v>801.99</v>
      </c>
      <c r="K279" s="78">
        <f t="shared" si="142"/>
        <v>801.99</v>
      </c>
      <c r="L279" s="79">
        <v>103.42700000000001</v>
      </c>
      <c r="M279" s="84">
        <v>0.94099999999999995</v>
      </c>
      <c r="N279" s="80">
        <f t="shared" si="143"/>
        <v>97.324807000000007</v>
      </c>
      <c r="O279" s="78">
        <f t="shared" si="144"/>
        <v>97.324807000000007</v>
      </c>
      <c r="P279" s="81">
        <f t="shared" si="145"/>
        <v>899.31480699999997</v>
      </c>
      <c r="Q279" s="120"/>
    </row>
    <row r="280" spans="1:17" customFormat="1">
      <c r="A280" s="36" t="str">
        <f>IF(TRIM(G280)&lt;&gt;"",COUNTA(G$7:$G280)&amp;"","")</f>
        <v>209</v>
      </c>
      <c r="B280" s="37"/>
      <c r="C280" s="6"/>
      <c r="D280" s="38"/>
      <c r="E280" s="104" t="s">
        <v>272</v>
      </c>
      <c r="F280" s="40">
        <v>1</v>
      </c>
      <c r="G280" s="44" t="s">
        <v>85</v>
      </c>
      <c r="H280" s="42">
        <v>0</v>
      </c>
      <c r="I280" s="76">
        <f t="shared" si="141"/>
        <v>1</v>
      </c>
      <c r="J280" s="77">
        <v>300.16000000000003</v>
      </c>
      <c r="K280" s="78">
        <f t="shared" si="142"/>
        <v>300.16000000000003</v>
      </c>
      <c r="L280" s="79">
        <v>101.67400000000001</v>
      </c>
      <c r="M280" s="84">
        <v>2.12</v>
      </c>
      <c r="N280" s="80">
        <f t="shared" si="143"/>
        <v>215.54888</v>
      </c>
      <c r="O280" s="78">
        <f t="shared" si="144"/>
        <v>215.54888</v>
      </c>
      <c r="P280" s="81">
        <f t="shared" si="145"/>
        <v>515.70888000000002</v>
      </c>
      <c r="Q280" s="120"/>
    </row>
    <row r="281" spans="1:17" customFormat="1">
      <c r="A281" s="36" t="str">
        <f>IF(TRIM(G281)&lt;&gt;"",COUNTA(G$7:$G281)&amp;"","")</f>
        <v/>
      </c>
      <c r="B281" s="37"/>
      <c r="C281" s="6"/>
      <c r="D281" s="46"/>
      <c r="E281" s="105"/>
      <c r="F281" s="40"/>
      <c r="G281" s="44"/>
      <c r="H281" s="42"/>
      <c r="I281" s="76"/>
      <c r="J281" s="77"/>
      <c r="K281" s="78"/>
      <c r="L281" s="78"/>
      <c r="M281" s="84"/>
      <c r="N281" s="80"/>
      <c r="O281" s="78"/>
      <c r="P281" s="78"/>
      <c r="Q281" s="121"/>
    </row>
    <row r="282" spans="1:17" s="7" customFormat="1" ht="19.2" customHeight="1">
      <c r="A282" s="36" t="str">
        <f>IF(TRIM(G282)&lt;&gt;"",COUNTA(G$7:$G282)&amp;"","")</f>
        <v/>
      </c>
      <c r="B282" s="37"/>
      <c r="C282" s="37"/>
      <c r="D282" s="38"/>
      <c r="E282" s="101" t="s">
        <v>273</v>
      </c>
      <c r="F282" s="40"/>
      <c r="G282" s="41"/>
      <c r="H282" s="42"/>
      <c r="I282" s="76"/>
      <c r="J282" s="77"/>
      <c r="K282" s="78"/>
      <c r="L282" s="78"/>
      <c r="M282" s="80"/>
      <c r="N282" s="80"/>
      <c r="O282" s="78"/>
      <c r="P282" s="78"/>
      <c r="Q282" s="120"/>
    </row>
    <row r="283" spans="1:17" customFormat="1">
      <c r="A283" s="36" t="str">
        <f>IF(TRIM(G283)&lt;&gt;"",COUNTA(G$7:$G283)&amp;"","")</f>
        <v>210</v>
      </c>
      <c r="B283" s="37"/>
      <c r="C283" s="6"/>
      <c r="D283" s="38"/>
      <c r="E283" s="43" t="s">
        <v>274</v>
      </c>
      <c r="F283" s="40">
        <v>1</v>
      </c>
      <c r="G283" s="44" t="s">
        <v>85</v>
      </c>
      <c r="H283" s="42">
        <v>0</v>
      </c>
      <c r="I283" s="76">
        <f t="shared" ref="I283:I295" si="146">IF(F283=0,"",F283+(F283*H283))</f>
        <v>1</v>
      </c>
      <c r="J283" s="77">
        <v>506.52</v>
      </c>
      <c r="K283" s="78">
        <f t="shared" ref="K283:K295" si="147">IF(F283=0,"",J283*I283)</f>
        <v>506.52</v>
      </c>
      <c r="L283" s="79">
        <v>101.67400000000001</v>
      </c>
      <c r="M283" s="84">
        <v>5.42</v>
      </c>
      <c r="N283" s="80">
        <f t="shared" ref="N283:N295" si="148">L283*M283</f>
        <v>551.07308</v>
      </c>
      <c r="O283" s="78">
        <f t="shared" ref="O283:O295" si="149">I283*N283</f>
        <v>551.07308</v>
      </c>
      <c r="P283" s="81">
        <f t="shared" ref="P283:P295" si="150">K283+O283</f>
        <v>1057.5930800000001</v>
      </c>
      <c r="Q283" s="96"/>
    </row>
    <row r="284" spans="1:17" customFormat="1">
      <c r="A284" s="36" t="str">
        <f>IF(TRIM(G284)&lt;&gt;"",COUNTA(G$7:$G284)&amp;"","")</f>
        <v>211</v>
      </c>
      <c r="B284" s="37"/>
      <c r="C284" s="6"/>
      <c r="D284" s="38"/>
      <c r="E284" s="43" t="s">
        <v>275</v>
      </c>
      <c r="F284" s="40">
        <v>3</v>
      </c>
      <c r="G284" s="44" t="s">
        <v>85</v>
      </c>
      <c r="H284" s="42">
        <v>0</v>
      </c>
      <c r="I284" s="76">
        <f t="shared" si="146"/>
        <v>3</v>
      </c>
      <c r="J284" s="77">
        <v>309.54000000000002</v>
      </c>
      <c r="K284" s="78">
        <f t="shared" si="147"/>
        <v>928.62</v>
      </c>
      <c r="L284" s="79">
        <v>112.98085</v>
      </c>
      <c r="M284" s="84">
        <v>1.333</v>
      </c>
      <c r="N284" s="80">
        <f t="shared" si="148"/>
        <v>150.60347304999999</v>
      </c>
      <c r="O284" s="78">
        <f t="shared" si="149"/>
        <v>451.81041914999997</v>
      </c>
      <c r="P284" s="81">
        <f t="shared" si="150"/>
        <v>1380.43041915</v>
      </c>
      <c r="Q284" s="96"/>
    </row>
    <row r="285" spans="1:17" customFormat="1">
      <c r="A285" s="36" t="str">
        <f>IF(TRIM(G285)&lt;&gt;"",COUNTA(G$7:$G285)&amp;"","")</f>
        <v>212</v>
      </c>
      <c r="B285" s="37"/>
      <c r="C285" s="6"/>
      <c r="D285" s="38"/>
      <c r="E285" s="43" t="s">
        <v>276</v>
      </c>
      <c r="F285" s="40">
        <v>2</v>
      </c>
      <c r="G285" s="44" t="s">
        <v>85</v>
      </c>
      <c r="H285" s="42">
        <v>0</v>
      </c>
      <c r="I285" s="76">
        <f t="shared" si="146"/>
        <v>2</v>
      </c>
      <c r="J285" s="77">
        <v>164.15</v>
      </c>
      <c r="K285" s="78">
        <f t="shared" si="147"/>
        <v>328.3</v>
      </c>
      <c r="L285" s="79">
        <v>112.98085</v>
      </c>
      <c r="M285" s="84">
        <v>1.321</v>
      </c>
      <c r="N285" s="80">
        <f t="shared" si="148"/>
        <v>149.24770285</v>
      </c>
      <c r="O285" s="78">
        <f t="shared" si="149"/>
        <v>298.49540569999999</v>
      </c>
      <c r="P285" s="81">
        <f t="shared" si="150"/>
        <v>626.79540569999995</v>
      </c>
      <c r="Q285" s="96"/>
    </row>
    <row r="286" spans="1:17" customFormat="1">
      <c r="A286" s="36" t="str">
        <f>IF(TRIM(G286)&lt;&gt;"",COUNTA(G$7:$G286)&amp;"","")</f>
        <v>213</v>
      </c>
      <c r="B286" s="37"/>
      <c r="C286" s="6"/>
      <c r="D286" s="38"/>
      <c r="E286" s="43" t="s">
        <v>277</v>
      </c>
      <c r="F286" s="40">
        <v>1</v>
      </c>
      <c r="G286" s="44" t="s">
        <v>85</v>
      </c>
      <c r="H286" s="42">
        <v>0</v>
      </c>
      <c r="I286" s="76">
        <f t="shared" si="146"/>
        <v>1</v>
      </c>
      <c r="J286" s="77">
        <v>295.47000000000003</v>
      </c>
      <c r="K286" s="78">
        <f t="shared" si="147"/>
        <v>295.47000000000003</v>
      </c>
      <c r="L286" s="79">
        <v>112.98085</v>
      </c>
      <c r="M286" s="84">
        <v>1.5</v>
      </c>
      <c r="N286" s="80">
        <f t="shared" si="148"/>
        <v>169.47127499999999</v>
      </c>
      <c r="O286" s="78">
        <f t="shared" si="149"/>
        <v>169.47127499999999</v>
      </c>
      <c r="P286" s="81">
        <f t="shared" si="150"/>
        <v>464.94127500000002</v>
      </c>
      <c r="Q286" s="96"/>
    </row>
    <row r="287" spans="1:17" customFormat="1">
      <c r="A287" s="36" t="str">
        <f>IF(TRIM(G287)&lt;&gt;"",COUNTA(G$7:$G287)&amp;"","")</f>
        <v>214</v>
      </c>
      <c r="B287" s="37"/>
      <c r="C287" s="6"/>
      <c r="D287" s="38"/>
      <c r="E287" s="43" t="s">
        <v>278</v>
      </c>
      <c r="F287" s="40">
        <v>1</v>
      </c>
      <c r="G287" s="44" t="s">
        <v>85</v>
      </c>
      <c r="H287" s="42">
        <v>0</v>
      </c>
      <c r="I287" s="76">
        <f t="shared" si="146"/>
        <v>1</v>
      </c>
      <c r="J287" s="77">
        <v>295.47000000000003</v>
      </c>
      <c r="K287" s="78">
        <f t="shared" si="147"/>
        <v>295.47000000000003</v>
      </c>
      <c r="L287" s="79">
        <v>112.98085</v>
      </c>
      <c r="M287" s="84">
        <v>1.5</v>
      </c>
      <c r="N287" s="80">
        <f t="shared" si="148"/>
        <v>169.47127499999999</v>
      </c>
      <c r="O287" s="78">
        <f t="shared" si="149"/>
        <v>169.47127499999999</v>
      </c>
      <c r="P287" s="81">
        <f t="shared" si="150"/>
        <v>464.94127500000002</v>
      </c>
      <c r="Q287" s="96"/>
    </row>
    <row r="288" spans="1:17" customFormat="1">
      <c r="A288" s="36" t="str">
        <f>IF(TRIM(G288)&lt;&gt;"",COUNTA(G$7:$G288)&amp;"","")</f>
        <v>215</v>
      </c>
      <c r="B288" s="37"/>
      <c r="C288" s="6"/>
      <c r="D288" s="38"/>
      <c r="E288" s="43" t="s">
        <v>279</v>
      </c>
      <c r="F288" s="40">
        <v>1</v>
      </c>
      <c r="G288" s="44" t="s">
        <v>85</v>
      </c>
      <c r="H288" s="42">
        <v>0</v>
      </c>
      <c r="I288" s="76">
        <f t="shared" si="146"/>
        <v>1</v>
      </c>
      <c r="J288" s="77">
        <v>295.47000000000003</v>
      </c>
      <c r="K288" s="78">
        <f t="shared" si="147"/>
        <v>295.47000000000003</v>
      </c>
      <c r="L288" s="79">
        <v>112.98085</v>
      </c>
      <c r="M288" s="84">
        <v>1.5</v>
      </c>
      <c r="N288" s="80">
        <f t="shared" si="148"/>
        <v>169.47127499999999</v>
      </c>
      <c r="O288" s="78">
        <f t="shared" si="149"/>
        <v>169.47127499999999</v>
      </c>
      <c r="P288" s="81">
        <f t="shared" si="150"/>
        <v>464.94127500000002</v>
      </c>
      <c r="Q288" s="96"/>
    </row>
    <row r="289" spans="1:17" customFormat="1">
      <c r="A289" s="36" t="str">
        <f>IF(TRIM(G289)&lt;&gt;"",COUNTA(G$7:$G289)&amp;"","")</f>
        <v>216</v>
      </c>
      <c r="B289" s="37"/>
      <c r="C289" s="6"/>
      <c r="D289" s="38"/>
      <c r="E289" s="43" t="s">
        <v>280</v>
      </c>
      <c r="F289" s="40">
        <v>1</v>
      </c>
      <c r="G289" s="44" t="s">
        <v>85</v>
      </c>
      <c r="H289" s="42">
        <v>0</v>
      </c>
      <c r="I289" s="76">
        <f t="shared" si="146"/>
        <v>1</v>
      </c>
      <c r="J289" s="77">
        <v>295.47000000000003</v>
      </c>
      <c r="K289" s="78">
        <f t="shared" si="147"/>
        <v>295.47000000000003</v>
      </c>
      <c r="L289" s="79">
        <v>112.98085</v>
      </c>
      <c r="M289" s="84">
        <v>1.5</v>
      </c>
      <c r="N289" s="80">
        <f t="shared" si="148"/>
        <v>169.47127499999999</v>
      </c>
      <c r="O289" s="78">
        <f t="shared" si="149"/>
        <v>169.47127499999999</v>
      </c>
      <c r="P289" s="81">
        <f t="shared" si="150"/>
        <v>464.94127500000002</v>
      </c>
      <c r="Q289" s="96"/>
    </row>
    <row r="290" spans="1:17" customFormat="1">
      <c r="A290" s="36" t="str">
        <f>IF(TRIM(G290)&lt;&gt;"",COUNTA(G$7:$G290)&amp;"","")</f>
        <v>217</v>
      </c>
      <c r="B290" s="37"/>
      <c r="C290" s="6"/>
      <c r="D290" s="38"/>
      <c r="E290" s="43" t="s">
        <v>281</v>
      </c>
      <c r="F290" s="40">
        <v>4</v>
      </c>
      <c r="G290" s="44" t="s">
        <v>85</v>
      </c>
      <c r="H290" s="42">
        <v>0</v>
      </c>
      <c r="I290" s="76">
        <f t="shared" si="146"/>
        <v>4</v>
      </c>
      <c r="J290" s="77">
        <v>1604.9179999999999</v>
      </c>
      <c r="K290" s="78">
        <f t="shared" si="147"/>
        <v>6419.6719999999996</v>
      </c>
      <c r="L290" s="79">
        <v>101.67400000000001</v>
      </c>
      <c r="M290" s="84">
        <v>2.4849999999999999</v>
      </c>
      <c r="N290" s="80">
        <f t="shared" si="148"/>
        <v>252.65988999999999</v>
      </c>
      <c r="O290" s="78">
        <f t="shared" si="149"/>
        <v>1010.63956</v>
      </c>
      <c r="P290" s="81">
        <f t="shared" si="150"/>
        <v>7430.3115600000001</v>
      </c>
      <c r="Q290" s="96"/>
    </row>
    <row r="291" spans="1:17" customFormat="1">
      <c r="A291" s="36" t="str">
        <f>IF(TRIM(G291)&lt;&gt;"",COUNTA(G$7:$G291)&amp;"","")</f>
        <v>218</v>
      </c>
      <c r="B291" s="37"/>
      <c r="C291" s="6"/>
      <c r="D291" s="38"/>
      <c r="E291" s="43" t="s">
        <v>282</v>
      </c>
      <c r="F291" s="40">
        <v>1</v>
      </c>
      <c r="G291" s="44" t="s">
        <v>85</v>
      </c>
      <c r="H291" s="42">
        <v>0</v>
      </c>
      <c r="I291" s="76">
        <f t="shared" si="146"/>
        <v>1</v>
      </c>
      <c r="J291" s="77">
        <v>942.69</v>
      </c>
      <c r="K291" s="78">
        <f t="shared" si="147"/>
        <v>942.69</v>
      </c>
      <c r="L291" s="79">
        <v>101.67400000000001</v>
      </c>
      <c r="M291" s="84">
        <v>2</v>
      </c>
      <c r="N291" s="80">
        <f t="shared" si="148"/>
        <v>203.34800000000001</v>
      </c>
      <c r="O291" s="78">
        <f t="shared" si="149"/>
        <v>203.34800000000001</v>
      </c>
      <c r="P291" s="81">
        <f t="shared" si="150"/>
        <v>1146.038</v>
      </c>
      <c r="Q291" s="96"/>
    </row>
    <row r="292" spans="1:17" customFormat="1">
      <c r="A292" s="36" t="str">
        <f>IF(TRIM(G292)&lt;&gt;"",COUNTA(G$7:$G292)&amp;"","")</f>
        <v>219</v>
      </c>
      <c r="B292" s="37"/>
      <c r="C292" s="6"/>
      <c r="D292" s="38"/>
      <c r="E292" s="43" t="s">
        <v>283</v>
      </c>
      <c r="F292" s="40">
        <v>2</v>
      </c>
      <c r="G292" s="44" t="s">
        <v>85</v>
      </c>
      <c r="H292" s="42">
        <v>0</v>
      </c>
      <c r="I292" s="76">
        <f t="shared" si="146"/>
        <v>2</v>
      </c>
      <c r="J292" s="77">
        <v>1013.978</v>
      </c>
      <c r="K292" s="78">
        <f t="shared" si="147"/>
        <v>2027.9559999999999</v>
      </c>
      <c r="L292" s="79">
        <v>101.67400000000001</v>
      </c>
      <c r="M292" s="84">
        <v>4.2759999999999998</v>
      </c>
      <c r="N292" s="80">
        <f t="shared" si="148"/>
        <v>434.75802399999998</v>
      </c>
      <c r="O292" s="78">
        <f t="shared" si="149"/>
        <v>869.51604799999996</v>
      </c>
      <c r="P292" s="81">
        <f t="shared" si="150"/>
        <v>2897.4720480000001</v>
      </c>
      <c r="Q292" s="96"/>
    </row>
    <row r="293" spans="1:17" customFormat="1">
      <c r="A293" s="36" t="str">
        <f>IF(TRIM(G293)&lt;&gt;"",COUNTA(G$7:$G293)&amp;"","")</f>
        <v>220</v>
      </c>
      <c r="B293" s="37"/>
      <c r="C293" s="6"/>
      <c r="D293" s="38"/>
      <c r="E293" s="43" t="s">
        <v>284</v>
      </c>
      <c r="F293" s="40">
        <v>1</v>
      </c>
      <c r="G293" s="44" t="s">
        <v>85</v>
      </c>
      <c r="H293" s="42">
        <v>0</v>
      </c>
      <c r="I293" s="76">
        <f t="shared" si="146"/>
        <v>1</v>
      </c>
      <c r="J293" s="77">
        <v>633.15</v>
      </c>
      <c r="K293" s="78">
        <f t="shared" si="147"/>
        <v>633.15</v>
      </c>
      <c r="L293" s="79">
        <v>101.67400000000001</v>
      </c>
      <c r="M293" s="84">
        <v>3.9830000000000001</v>
      </c>
      <c r="N293" s="80">
        <f t="shared" si="148"/>
        <v>404.96754199999998</v>
      </c>
      <c r="O293" s="78">
        <f t="shared" si="149"/>
        <v>404.96754199999998</v>
      </c>
      <c r="P293" s="81">
        <f t="shared" si="150"/>
        <v>1038.117542</v>
      </c>
      <c r="Q293" s="96"/>
    </row>
    <row r="294" spans="1:17" customFormat="1">
      <c r="A294" s="36" t="str">
        <f>IF(TRIM(G294)&lt;&gt;"",COUNTA(G$7:$G294)&amp;"","")</f>
        <v>221</v>
      </c>
      <c r="B294" s="37"/>
      <c r="C294" s="6"/>
      <c r="D294" s="38"/>
      <c r="E294" s="43" t="s">
        <v>285</v>
      </c>
      <c r="F294" s="40">
        <v>1</v>
      </c>
      <c r="G294" s="44" t="s">
        <v>85</v>
      </c>
      <c r="H294" s="42">
        <v>0</v>
      </c>
      <c r="I294" s="76">
        <f t="shared" si="146"/>
        <v>1</v>
      </c>
      <c r="J294" s="77">
        <v>1046.808</v>
      </c>
      <c r="K294" s="78">
        <f t="shared" si="147"/>
        <v>1046.808</v>
      </c>
      <c r="L294" s="79">
        <v>101.67400000000001</v>
      </c>
      <c r="M294" s="84">
        <v>2.9980000000000002</v>
      </c>
      <c r="N294" s="80">
        <f t="shared" si="148"/>
        <v>304.81865199999999</v>
      </c>
      <c r="O294" s="78">
        <f t="shared" si="149"/>
        <v>304.81865199999999</v>
      </c>
      <c r="P294" s="81">
        <f t="shared" si="150"/>
        <v>1351.6266519999999</v>
      </c>
      <c r="Q294" s="96"/>
    </row>
    <row r="295" spans="1:17" customFormat="1">
      <c r="A295" s="36" t="str">
        <f>IF(TRIM(G295)&lt;&gt;"",COUNTA(G$7:$G295)&amp;"","")</f>
        <v>222</v>
      </c>
      <c r="B295" s="37"/>
      <c r="C295" s="6"/>
      <c r="D295" s="38"/>
      <c r="E295" s="43" t="s">
        <v>286</v>
      </c>
      <c r="F295" s="40">
        <v>10</v>
      </c>
      <c r="G295" s="44" t="s">
        <v>85</v>
      </c>
      <c r="H295" s="42">
        <v>0</v>
      </c>
      <c r="I295" s="76">
        <f t="shared" si="146"/>
        <v>10</v>
      </c>
      <c r="J295" s="77">
        <v>103.18</v>
      </c>
      <c r="K295" s="78">
        <f t="shared" si="147"/>
        <v>1031.8</v>
      </c>
      <c r="L295" s="79">
        <v>112.98085</v>
      </c>
      <c r="M295" s="84">
        <v>1</v>
      </c>
      <c r="N295" s="80">
        <f t="shared" si="148"/>
        <v>112.98085</v>
      </c>
      <c r="O295" s="78">
        <f t="shared" si="149"/>
        <v>1129.8085000000001</v>
      </c>
      <c r="P295" s="81">
        <f t="shared" si="150"/>
        <v>2161.6084999999998</v>
      </c>
      <c r="Q295" s="96"/>
    </row>
    <row r="296" spans="1:17" customFormat="1">
      <c r="A296" s="36" t="str">
        <f>IF(TRIM(G296)&lt;&gt;"",COUNTA(G$7:$G296)&amp;"","")</f>
        <v/>
      </c>
      <c r="B296" s="37"/>
      <c r="C296" s="6"/>
      <c r="D296" s="38"/>
      <c r="E296" s="43"/>
      <c r="F296" s="40"/>
      <c r="G296" s="44"/>
      <c r="H296" s="42"/>
      <c r="I296" s="76"/>
      <c r="J296" s="77"/>
      <c r="K296" s="78"/>
      <c r="L296" s="79"/>
      <c r="M296" s="84"/>
      <c r="N296" s="80"/>
      <c r="O296" s="78"/>
      <c r="P296" s="81"/>
      <c r="Q296" s="96"/>
    </row>
    <row r="297" spans="1:17" customFormat="1">
      <c r="A297" s="36" t="str">
        <f>IF(TRIM(G297)&lt;&gt;"",COUNTA(G$7:$G297)&amp;"","")</f>
        <v/>
      </c>
      <c r="B297" s="37"/>
      <c r="C297" s="6"/>
      <c r="D297" s="38"/>
      <c r="E297" s="102" t="s">
        <v>287</v>
      </c>
      <c r="F297" s="40"/>
      <c r="G297" s="44"/>
      <c r="H297" s="42"/>
      <c r="I297" s="76"/>
      <c r="J297" s="77"/>
      <c r="K297" s="78"/>
      <c r="L297" s="79"/>
      <c r="M297" s="84"/>
      <c r="N297" s="80"/>
      <c r="O297" s="78"/>
      <c r="P297" s="81"/>
      <c r="Q297" s="96"/>
    </row>
    <row r="298" spans="1:17" customFormat="1">
      <c r="A298" s="36" t="str">
        <f>IF(TRIM(G298)&lt;&gt;"",COUNTA(G$7:$G298)&amp;"","")</f>
        <v>223</v>
      </c>
      <c r="B298" s="37"/>
      <c r="C298" s="6"/>
      <c r="D298" s="38"/>
      <c r="E298" s="43" t="s">
        <v>288</v>
      </c>
      <c r="F298" s="40">
        <v>1</v>
      </c>
      <c r="G298" s="44" t="s">
        <v>85</v>
      </c>
      <c r="H298" s="42">
        <v>0</v>
      </c>
      <c r="I298" s="76">
        <f t="shared" ref="I298:I302" si="151">IF(F298=0,"",F298+(F298*H298))</f>
        <v>1</v>
      </c>
      <c r="J298" s="77">
        <v>119.126</v>
      </c>
      <c r="K298" s="78">
        <f t="shared" ref="K298:K302" si="152">IF(F298=0,"",J298*I298)</f>
        <v>119.126</v>
      </c>
      <c r="L298" s="79">
        <v>112.98085</v>
      </c>
      <c r="M298" s="84">
        <v>0.21</v>
      </c>
      <c r="N298" s="80">
        <f t="shared" ref="N298:N302" si="153">L298*M298</f>
        <v>23.7259785</v>
      </c>
      <c r="O298" s="78">
        <f t="shared" ref="O298:O302" si="154">I298*N298</f>
        <v>23.7259785</v>
      </c>
      <c r="P298" s="81">
        <f t="shared" ref="P298:P302" si="155">K298+O298</f>
        <v>142.8519785</v>
      </c>
      <c r="Q298" s="96"/>
    </row>
    <row r="299" spans="1:17" customFormat="1">
      <c r="A299" s="36" t="str">
        <f>IF(TRIM(G299)&lt;&gt;"",COUNTA(G$7:$G299)&amp;"","")</f>
        <v>224</v>
      </c>
      <c r="B299" s="37"/>
      <c r="C299" s="6"/>
      <c r="D299" s="38"/>
      <c r="E299" s="43" t="s">
        <v>289</v>
      </c>
      <c r="F299" s="40">
        <v>1</v>
      </c>
      <c r="G299" s="44" t="s">
        <v>85</v>
      </c>
      <c r="H299" s="42">
        <v>0</v>
      </c>
      <c r="I299" s="76">
        <f t="shared" si="151"/>
        <v>1</v>
      </c>
      <c r="J299" s="77">
        <v>276.70999999999998</v>
      </c>
      <c r="K299" s="78">
        <f t="shared" si="152"/>
        <v>276.70999999999998</v>
      </c>
      <c r="L299" s="79">
        <v>112.98085</v>
      </c>
      <c r="M299" s="84">
        <v>1.411</v>
      </c>
      <c r="N299" s="80">
        <f t="shared" si="153"/>
        <v>159.41597934999999</v>
      </c>
      <c r="O299" s="78">
        <f t="shared" si="154"/>
        <v>159.41597934999999</v>
      </c>
      <c r="P299" s="81">
        <f t="shared" si="155"/>
        <v>436.12597935000002</v>
      </c>
      <c r="Q299" s="96"/>
    </row>
    <row r="300" spans="1:17" customFormat="1">
      <c r="A300" s="36" t="str">
        <f>IF(TRIM(G300)&lt;&gt;"",COUNTA(G$7:$G300)&amp;"","")</f>
        <v>225</v>
      </c>
      <c r="B300" s="37"/>
      <c r="C300" s="6"/>
      <c r="D300" s="38"/>
      <c r="E300" s="43" t="s">
        <v>290</v>
      </c>
      <c r="F300" s="40">
        <v>8</v>
      </c>
      <c r="G300" s="44" t="s">
        <v>85</v>
      </c>
      <c r="H300" s="42">
        <v>0</v>
      </c>
      <c r="I300" s="76">
        <f t="shared" si="151"/>
        <v>8</v>
      </c>
      <c r="J300" s="77">
        <v>78.979600000000005</v>
      </c>
      <c r="K300" s="78">
        <f t="shared" si="152"/>
        <v>631.83680000000004</v>
      </c>
      <c r="L300" s="79">
        <v>112.98085</v>
      </c>
      <c r="M300" s="84">
        <v>0.24</v>
      </c>
      <c r="N300" s="80">
        <f t="shared" si="153"/>
        <v>27.115404000000002</v>
      </c>
      <c r="O300" s="78">
        <f t="shared" si="154"/>
        <v>216.92323200000001</v>
      </c>
      <c r="P300" s="81">
        <f t="shared" si="155"/>
        <v>848.76003200000002</v>
      </c>
      <c r="Q300" s="96"/>
    </row>
    <row r="301" spans="1:17" customFormat="1">
      <c r="A301" s="36" t="str">
        <f>IF(TRIM(G301)&lt;&gt;"",COUNTA(G$7:$G301)&amp;"","")</f>
        <v>226</v>
      </c>
      <c r="B301" s="37"/>
      <c r="C301" s="6"/>
      <c r="D301" s="38"/>
      <c r="E301" s="43" t="s">
        <v>291</v>
      </c>
      <c r="F301" s="40">
        <v>2</v>
      </c>
      <c r="G301" s="44" t="s">
        <v>85</v>
      </c>
      <c r="H301" s="42">
        <v>0</v>
      </c>
      <c r="I301" s="76">
        <f t="shared" si="151"/>
        <v>2</v>
      </c>
      <c r="J301" s="77">
        <v>364.88200000000001</v>
      </c>
      <c r="K301" s="78">
        <f t="shared" si="152"/>
        <v>729.76400000000001</v>
      </c>
      <c r="L301" s="79">
        <v>112.98085</v>
      </c>
      <c r="M301" s="84">
        <v>1.6850000000000001</v>
      </c>
      <c r="N301" s="80">
        <f t="shared" si="153"/>
        <v>190.37273225000001</v>
      </c>
      <c r="O301" s="78">
        <f t="shared" si="154"/>
        <v>380.74546450000003</v>
      </c>
      <c r="P301" s="81">
        <f t="shared" si="155"/>
        <v>1110.5094644999999</v>
      </c>
      <c r="Q301" s="96"/>
    </row>
    <row r="302" spans="1:17" customFormat="1">
      <c r="A302" s="36" t="str">
        <f>IF(TRIM(G302)&lt;&gt;"",COUNTA(G$7:$G302)&amp;"","")</f>
        <v>227</v>
      </c>
      <c r="B302" s="37"/>
      <c r="C302" s="6"/>
      <c r="D302" s="38"/>
      <c r="E302" s="43" t="s">
        <v>292</v>
      </c>
      <c r="F302" s="40">
        <v>1</v>
      </c>
      <c r="G302" s="44" t="s">
        <v>85</v>
      </c>
      <c r="H302" s="42">
        <v>0</v>
      </c>
      <c r="I302" s="76">
        <f t="shared" si="151"/>
        <v>1</v>
      </c>
      <c r="J302" s="77">
        <v>364.88200000000001</v>
      </c>
      <c r="K302" s="78">
        <f t="shared" si="152"/>
        <v>364.88200000000001</v>
      </c>
      <c r="L302" s="79">
        <v>112.98085</v>
      </c>
      <c r="M302" s="84">
        <v>1.25</v>
      </c>
      <c r="N302" s="80">
        <f t="shared" si="153"/>
        <v>141.22606250000001</v>
      </c>
      <c r="O302" s="78">
        <f t="shared" si="154"/>
        <v>141.22606250000001</v>
      </c>
      <c r="P302" s="81">
        <f t="shared" si="155"/>
        <v>506.10806250000002</v>
      </c>
      <c r="Q302" s="96"/>
    </row>
    <row r="303" spans="1:17" customFormat="1">
      <c r="A303" s="36" t="str">
        <f>IF(TRIM(G303)&lt;&gt;"",COUNTA(G$7:$G303)&amp;"","")</f>
        <v/>
      </c>
      <c r="B303" s="37"/>
      <c r="C303" s="6"/>
      <c r="D303" s="38"/>
      <c r="E303" s="43"/>
      <c r="F303" s="40"/>
      <c r="G303" s="44"/>
      <c r="H303" s="42"/>
      <c r="I303" s="76"/>
      <c r="J303" s="77"/>
      <c r="K303" s="78"/>
      <c r="L303" s="79"/>
      <c r="M303" s="84"/>
      <c r="N303" s="80"/>
      <c r="O303" s="78"/>
      <c r="P303" s="81"/>
      <c r="Q303" s="96"/>
    </row>
    <row r="304" spans="1:17" customFormat="1">
      <c r="A304" s="36" t="str">
        <f>IF(TRIM(G304)&lt;&gt;"",COUNTA(G$7:$G304)&amp;"","")</f>
        <v>228</v>
      </c>
      <c r="B304" s="37"/>
      <c r="C304" s="6"/>
      <c r="D304" s="38"/>
      <c r="E304" s="43" t="s">
        <v>293</v>
      </c>
      <c r="F304" s="40">
        <v>4</v>
      </c>
      <c r="G304" s="44" t="s">
        <v>294</v>
      </c>
      <c r="H304" s="42">
        <v>0.05</v>
      </c>
      <c r="I304" s="76">
        <f>IF(F304=0,"",F304+(F304*H304))</f>
        <v>4.2</v>
      </c>
      <c r="J304" s="82">
        <v>0</v>
      </c>
      <c r="K304" s="83">
        <f t="shared" ref="K304" si="156">IF(F304=0,"",J304*I304)</f>
        <v>0</v>
      </c>
      <c r="L304" s="79">
        <v>73.801299999999998</v>
      </c>
      <c r="M304" s="84">
        <v>2.2799999999999998</v>
      </c>
      <c r="N304" s="80">
        <f t="shared" ref="N304" si="157">L304*M304</f>
        <v>168.266964</v>
      </c>
      <c r="O304" s="78">
        <f t="shared" ref="O304" si="158">I304*N304</f>
        <v>706.72124880000001</v>
      </c>
      <c r="P304" s="81">
        <f t="shared" ref="P304" si="159">K304+O304</f>
        <v>706.72124880000001</v>
      </c>
      <c r="Q304" s="96"/>
    </row>
    <row r="305" spans="1:17" customFormat="1">
      <c r="A305" s="36" t="str">
        <f>IF(TRIM(G305)&lt;&gt;"",COUNTA(G$7:$G305)&amp;"","")</f>
        <v/>
      </c>
      <c r="B305" s="37"/>
      <c r="C305" s="6"/>
      <c r="D305" s="38"/>
      <c r="E305" s="43"/>
      <c r="F305" s="40"/>
      <c r="G305" s="44"/>
      <c r="H305" s="42"/>
      <c r="I305" s="76"/>
      <c r="J305" s="77"/>
      <c r="K305" s="78"/>
      <c r="L305" s="79"/>
      <c r="M305" s="84"/>
      <c r="N305" s="80"/>
      <c r="O305" s="78"/>
      <c r="P305" s="81"/>
      <c r="Q305" s="96"/>
    </row>
    <row r="306" spans="1:17" customFormat="1">
      <c r="A306" s="36" t="str">
        <f>IF(TRIM(G306)&lt;&gt;"",COUNTA(G$7:$G306)&amp;"","")</f>
        <v/>
      </c>
      <c r="B306" s="37"/>
      <c r="C306" s="6"/>
      <c r="D306" s="46"/>
      <c r="E306" s="105"/>
      <c r="F306" s="40"/>
      <c r="G306" s="106"/>
      <c r="H306" s="107"/>
      <c r="I306" s="111"/>
      <c r="J306" s="112"/>
      <c r="K306" s="113"/>
      <c r="L306" s="113"/>
      <c r="M306" s="114"/>
      <c r="N306" s="115"/>
      <c r="O306" s="113"/>
      <c r="P306" s="113"/>
      <c r="Q306" s="121"/>
    </row>
    <row r="307" spans="1:17" s="8" customFormat="1" ht="15.6">
      <c r="A307" s="36" t="str">
        <f>IF(TRIM(G307)&lt;&gt;"",COUNTA(G$7:$G307)&amp;"","")</f>
        <v/>
      </c>
      <c r="B307" s="48"/>
      <c r="C307" s="48"/>
      <c r="D307" s="46"/>
      <c r="E307" s="105"/>
      <c r="F307" s="51"/>
      <c r="G307" s="52"/>
      <c r="H307" s="53" t="s">
        <v>93</v>
      </c>
      <c r="I307" s="85"/>
      <c r="J307" s="86">
        <f>SUM(K223:K305)</f>
        <v>31836.065653000001</v>
      </c>
      <c r="K307" s="263" t="s">
        <v>94</v>
      </c>
      <c r="L307" s="264"/>
      <c r="M307" s="87">
        <f>SUM(O223:O304)</f>
        <v>37929.092918437498</v>
      </c>
      <c r="N307" s="263"/>
      <c r="O307" s="264"/>
      <c r="P307" s="88"/>
      <c r="Q307" s="97">
        <f>SUM(P223:P305)</f>
        <v>69765.158571437496</v>
      </c>
    </row>
    <row r="308" spans="1:17" s="8" customFormat="1" ht="15.6">
      <c r="A308" s="36" t="str">
        <f>IF(TRIM(G308)&lt;&gt;"",COUNTA(G$7:$G308)&amp;"","")</f>
        <v/>
      </c>
      <c r="B308" s="48"/>
      <c r="C308" s="48"/>
      <c r="D308" s="46"/>
      <c r="E308" s="105"/>
      <c r="F308" s="51"/>
      <c r="G308" s="52"/>
      <c r="H308" s="108"/>
      <c r="I308" s="108"/>
      <c r="J308" s="116"/>
      <c r="K308" s="117"/>
      <c r="L308" s="117"/>
      <c r="M308" s="118"/>
      <c r="N308" s="117"/>
      <c r="O308" s="117"/>
      <c r="P308" s="119"/>
      <c r="Q308" s="122"/>
    </row>
    <row r="309" spans="1:17" ht="20.100000000000001" customHeight="1">
      <c r="A309" s="29" t="str">
        <f>IF(TRIM(G309)&lt;&gt;"",COUNTA(G$7:$G309)&amp;"","")</f>
        <v/>
      </c>
      <c r="B309" s="30"/>
      <c r="C309" s="31" t="s">
        <v>1</v>
      </c>
      <c r="D309" s="32" t="s">
        <v>295</v>
      </c>
      <c r="E309" s="33" t="s">
        <v>296</v>
      </c>
      <c r="F309" s="34"/>
      <c r="G309" s="35"/>
      <c r="H309" s="30"/>
      <c r="I309" s="74"/>
      <c r="J309" s="30"/>
      <c r="K309" s="30"/>
      <c r="L309" s="30"/>
      <c r="M309" s="75"/>
      <c r="N309" s="30"/>
      <c r="O309" s="30"/>
      <c r="P309" s="30"/>
      <c r="Q309" s="95"/>
    </row>
    <row r="310" spans="1:17" s="7" customFormat="1" ht="19.2" customHeight="1">
      <c r="A310" s="36" t="str">
        <f>IF(TRIM(G310)&lt;&gt;"",COUNTA(G$7:$G310)&amp;"","")</f>
        <v/>
      </c>
      <c r="B310" s="37"/>
      <c r="C310" s="37"/>
      <c r="D310" s="38"/>
      <c r="E310" s="39" t="s">
        <v>297</v>
      </c>
      <c r="F310" s="40"/>
      <c r="G310" s="41"/>
      <c r="H310" s="42"/>
      <c r="I310" s="76"/>
      <c r="J310" s="77"/>
      <c r="K310" s="78"/>
      <c r="L310" s="79"/>
      <c r="M310" s="80"/>
      <c r="N310" s="80"/>
      <c r="O310" s="78"/>
      <c r="P310" s="81"/>
      <c r="Q310" s="96"/>
    </row>
    <row r="311" spans="1:17" customFormat="1">
      <c r="A311" s="36" t="str">
        <f>IF(TRIM(G311)&lt;&gt;"",COUNTA(G$7:$G311)&amp;"","")</f>
        <v/>
      </c>
      <c r="B311" s="37"/>
      <c r="C311" s="6"/>
      <c r="D311" s="38"/>
      <c r="E311" s="109" t="s">
        <v>298</v>
      </c>
      <c r="F311" s="40"/>
      <c r="G311" s="44"/>
      <c r="H311" s="42"/>
      <c r="I311" s="76"/>
      <c r="J311" s="77"/>
      <c r="K311" s="78"/>
      <c r="L311" s="79"/>
      <c r="M311" s="84"/>
      <c r="N311" s="80"/>
      <c r="O311" s="78"/>
      <c r="P311" s="81"/>
      <c r="Q311" s="96"/>
    </row>
    <row r="312" spans="1:17" customFormat="1">
      <c r="A312" s="36" t="str">
        <f>IF(TRIM(G312)&lt;&gt;"",COUNTA(G$7:$G312)&amp;"","")</f>
        <v>229</v>
      </c>
      <c r="B312" s="37"/>
      <c r="C312" s="6"/>
      <c r="D312" s="38"/>
      <c r="E312" s="104" t="s">
        <v>299</v>
      </c>
      <c r="F312" s="40">
        <v>9</v>
      </c>
      <c r="G312" s="44" t="s">
        <v>85</v>
      </c>
      <c r="H312" s="42">
        <v>0</v>
      </c>
      <c r="I312" s="76">
        <f t="shared" ref="I312:I316" si="160">IF(F312=0,"",F312+(F312*H312))</f>
        <v>9</v>
      </c>
      <c r="J312" s="77">
        <v>4.5586799999999998</v>
      </c>
      <c r="K312" s="78">
        <f t="shared" ref="K312:K313" si="161">IF(F312=0,"",J312*I312)</f>
        <v>41.028120000000001</v>
      </c>
      <c r="L312" s="79">
        <v>112.98085</v>
      </c>
      <c r="M312" s="84">
        <v>0.14000000000000001</v>
      </c>
      <c r="N312" s="80">
        <f t="shared" ref="N312:N313" si="162">L312*M312</f>
        <v>15.817318999999999</v>
      </c>
      <c r="O312" s="78">
        <f t="shared" ref="O312:O313" si="163">I312*N312</f>
        <v>142.35587100000001</v>
      </c>
      <c r="P312" s="81">
        <f t="shared" ref="P312:P313" si="164">K312+O312</f>
        <v>183.38399100000001</v>
      </c>
      <c r="Q312" s="96"/>
    </row>
    <row r="313" spans="1:17" customFormat="1">
      <c r="A313" s="36" t="str">
        <f>IF(TRIM(G313)&lt;&gt;"",COUNTA(G$7:$G313)&amp;"","")</f>
        <v>230</v>
      </c>
      <c r="B313" s="37"/>
      <c r="C313" s="6"/>
      <c r="D313" s="38"/>
      <c r="E313" s="104" t="s">
        <v>300</v>
      </c>
      <c r="F313" s="40">
        <v>9</v>
      </c>
      <c r="G313" s="44" t="s">
        <v>85</v>
      </c>
      <c r="H313" s="42">
        <v>0</v>
      </c>
      <c r="I313" s="76">
        <f t="shared" si="160"/>
        <v>9</v>
      </c>
      <c r="J313" s="77">
        <v>2.1011199999999999</v>
      </c>
      <c r="K313" s="78">
        <f t="shared" si="161"/>
        <v>18.910080000000001</v>
      </c>
      <c r="L313" s="79">
        <v>112.98085</v>
      </c>
      <c r="M313" s="84">
        <v>0.13</v>
      </c>
      <c r="N313" s="80">
        <f t="shared" si="162"/>
        <v>14.6875105</v>
      </c>
      <c r="O313" s="78">
        <f t="shared" si="163"/>
        <v>132.18759449999999</v>
      </c>
      <c r="P313" s="81">
        <f t="shared" si="164"/>
        <v>151.09767450000001</v>
      </c>
      <c r="Q313" s="96"/>
    </row>
    <row r="314" spans="1:17" customFormat="1">
      <c r="A314" s="36" t="str">
        <f>IF(TRIM(G314)&lt;&gt;"",COUNTA(G$7:$G314)&amp;"","")</f>
        <v/>
      </c>
      <c r="B314" s="37"/>
      <c r="C314" s="6"/>
      <c r="D314" s="38"/>
      <c r="E314" s="110" t="s">
        <v>301</v>
      </c>
      <c r="F314" s="40"/>
      <c r="G314" s="44"/>
      <c r="H314" s="42"/>
      <c r="I314" s="76"/>
      <c r="J314" s="77"/>
      <c r="K314" s="78"/>
      <c r="L314" s="79"/>
      <c r="M314" s="84"/>
      <c r="N314" s="80"/>
      <c r="O314" s="78"/>
      <c r="P314" s="81"/>
      <c r="Q314" s="96"/>
    </row>
    <row r="315" spans="1:17" customFormat="1">
      <c r="A315" s="36" t="str">
        <f>IF(TRIM(G315)&lt;&gt;"",COUNTA(G$7:$G315)&amp;"","")</f>
        <v>231</v>
      </c>
      <c r="B315" s="37"/>
      <c r="C315" s="6"/>
      <c r="D315" s="38"/>
      <c r="E315" s="104" t="s">
        <v>302</v>
      </c>
      <c r="F315" s="40">
        <v>4</v>
      </c>
      <c r="G315" s="44" t="s">
        <v>85</v>
      </c>
      <c r="H315" s="42">
        <v>0</v>
      </c>
      <c r="I315" s="76">
        <f t="shared" si="160"/>
        <v>4</v>
      </c>
      <c r="J315" s="77">
        <v>1.7353000000000001</v>
      </c>
      <c r="K315" s="78">
        <f t="shared" ref="K315:K316" si="165">IF(F315=0,"",J315*I315)</f>
        <v>6.9412000000000003</v>
      </c>
      <c r="L315" s="79">
        <v>112.98085</v>
      </c>
      <c r="M315" s="84">
        <v>8.5000000000000006E-2</v>
      </c>
      <c r="N315" s="80">
        <f t="shared" ref="N315:N316" si="166">L315*M315</f>
        <v>9.6033722499999996</v>
      </c>
      <c r="O315" s="78">
        <f t="shared" ref="O315:O316" si="167">I315*N315</f>
        <v>38.413488999999998</v>
      </c>
      <c r="P315" s="81">
        <f t="shared" ref="P315:P316" si="168">K315+O315</f>
        <v>45.354689</v>
      </c>
      <c r="Q315" s="96"/>
    </row>
    <row r="316" spans="1:17" customFormat="1">
      <c r="A316" s="36" t="str">
        <f>IF(TRIM(G316)&lt;&gt;"",COUNTA(G$7:$G316)&amp;"","")</f>
        <v>232</v>
      </c>
      <c r="B316" s="37"/>
      <c r="C316" s="6"/>
      <c r="D316" s="38"/>
      <c r="E316" s="104" t="s">
        <v>300</v>
      </c>
      <c r="F316" s="40">
        <v>4</v>
      </c>
      <c r="G316" s="44" t="s">
        <v>85</v>
      </c>
      <c r="H316" s="42">
        <v>0</v>
      </c>
      <c r="I316" s="76">
        <f t="shared" si="160"/>
        <v>4</v>
      </c>
      <c r="J316" s="77">
        <v>2.1011199999999999</v>
      </c>
      <c r="K316" s="78">
        <f t="shared" si="165"/>
        <v>8.4044799999999995</v>
      </c>
      <c r="L316" s="79">
        <v>112.98085</v>
      </c>
      <c r="M316" s="84">
        <v>0.13</v>
      </c>
      <c r="N316" s="80">
        <f t="shared" si="166"/>
        <v>14.6875105</v>
      </c>
      <c r="O316" s="78">
        <f t="shared" si="167"/>
        <v>58.750042000000001</v>
      </c>
      <c r="P316" s="81">
        <f t="shared" si="168"/>
        <v>67.154522</v>
      </c>
      <c r="Q316" s="96"/>
    </row>
    <row r="317" spans="1:17" customFormat="1">
      <c r="A317" s="36" t="str">
        <f>IF(TRIM(G317)&lt;&gt;"",COUNTA(G$7:$G317)&amp;"","")</f>
        <v/>
      </c>
      <c r="B317" s="37"/>
      <c r="C317" s="6"/>
      <c r="D317" s="38"/>
      <c r="E317" s="110" t="s">
        <v>303</v>
      </c>
      <c r="F317" s="40"/>
      <c r="G317" s="44"/>
      <c r="H317" s="42"/>
      <c r="I317" s="76"/>
      <c r="J317" s="77"/>
      <c r="K317" s="78"/>
      <c r="L317" s="79"/>
      <c r="M317" s="84"/>
      <c r="N317" s="80"/>
      <c r="O317" s="78"/>
      <c r="P317" s="81"/>
      <c r="Q317" s="96"/>
    </row>
    <row r="318" spans="1:17" customFormat="1">
      <c r="A318" s="36" t="str">
        <f>IF(TRIM(G318)&lt;&gt;"",COUNTA(G$7:$G318)&amp;"","")</f>
        <v>233</v>
      </c>
      <c r="B318" s="37"/>
      <c r="C318" s="6"/>
      <c r="D318" s="38"/>
      <c r="E318" s="104" t="s">
        <v>302</v>
      </c>
      <c r="F318" s="40">
        <v>6</v>
      </c>
      <c r="G318" s="44" t="s">
        <v>85</v>
      </c>
      <c r="H318" s="42">
        <v>0</v>
      </c>
      <c r="I318" s="76">
        <f t="shared" ref="I318:I322" si="169">IF(F318=0,"",F318+(F318*H318))</f>
        <v>6</v>
      </c>
      <c r="J318" s="77">
        <v>1.7353000000000001</v>
      </c>
      <c r="K318" s="78">
        <f t="shared" ref="K318:K319" si="170">IF(F318=0,"",J318*I318)</f>
        <v>10.411799999999999</v>
      </c>
      <c r="L318" s="79">
        <v>112.98085</v>
      </c>
      <c r="M318" s="84">
        <v>8.5000000000000006E-2</v>
      </c>
      <c r="N318" s="80">
        <f t="shared" ref="N318:N319" si="171">L318*M318</f>
        <v>9.6033722499999996</v>
      </c>
      <c r="O318" s="78">
        <f t="shared" ref="O318:O319" si="172">I318*N318</f>
        <v>57.620233499999998</v>
      </c>
      <c r="P318" s="81">
        <f t="shared" ref="P318:P319" si="173">K318+O318</f>
        <v>68.032033499999997</v>
      </c>
      <c r="Q318" s="96"/>
    </row>
    <row r="319" spans="1:17" customFormat="1">
      <c r="A319" s="36" t="str">
        <f>IF(TRIM(G319)&lt;&gt;"",COUNTA(G$7:$G319)&amp;"","")</f>
        <v>234</v>
      </c>
      <c r="B319" s="37"/>
      <c r="C319" s="6"/>
      <c r="D319" s="38"/>
      <c r="E319" s="104" t="s">
        <v>300</v>
      </c>
      <c r="F319" s="40">
        <v>6</v>
      </c>
      <c r="G319" s="44" t="s">
        <v>85</v>
      </c>
      <c r="H319" s="42">
        <v>0</v>
      </c>
      <c r="I319" s="76">
        <f t="shared" si="169"/>
        <v>6</v>
      </c>
      <c r="J319" s="77">
        <v>2.1011199999999999</v>
      </c>
      <c r="K319" s="78">
        <f t="shared" si="170"/>
        <v>12.606719999999999</v>
      </c>
      <c r="L319" s="79">
        <v>112.98085</v>
      </c>
      <c r="M319" s="84">
        <v>0.13</v>
      </c>
      <c r="N319" s="80">
        <f t="shared" si="171"/>
        <v>14.6875105</v>
      </c>
      <c r="O319" s="78">
        <f t="shared" si="172"/>
        <v>88.125062999999997</v>
      </c>
      <c r="P319" s="81">
        <f t="shared" si="173"/>
        <v>100.73178299999999</v>
      </c>
      <c r="Q319" s="96"/>
    </row>
    <row r="320" spans="1:17" customFormat="1">
      <c r="A320" s="36" t="str">
        <f>IF(TRIM(G320)&lt;&gt;"",COUNTA(G$7:$G320)&amp;"","")</f>
        <v/>
      </c>
      <c r="B320" s="37"/>
      <c r="C320" s="6"/>
      <c r="D320" s="38"/>
      <c r="E320" s="110" t="s">
        <v>304</v>
      </c>
      <c r="F320" s="40"/>
      <c r="G320" s="44"/>
      <c r="H320" s="42"/>
      <c r="I320" s="76"/>
      <c r="J320" s="77"/>
      <c r="K320" s="78"/>
      <c r="L320" s="79"/>
      <c r="M320" s="84"/>
      <c r="N320" s="80"/>
      <c r="O320" s="78"/>
      <c r="P320" s="81"/>
      <c r="Q320" s="96"/>
    </row>
    <row r="321" spans="1:17" customFormat="1">
      <c r="A321" s="36" t="str">
        <f>IF(TRIM(G321)&lt;&gt;"",COUNTA(G$7:$G321)&amp;"","")</f>
        <v>235</v>
      </c>
      <c r="B321" s="37"/>
      <c r="C321" s="6"/>
      <c r="D321" s="38"/>
      <c r="E321" s="104" t="s">
        <v>302</v>
      </c>
      <c r="F321" s="40">
        <v>40</v>
      </c>
      <c r="G321" s="44" t="s">
        <v>85</v>
      </c>
      <c r="H321" s="42">
        <v>0</v>
      </c>
      <c r="I321" s="76">
        <f t="shared" si="169"/>
        <v>40</v>
      </c>
      <c r="J321" s="77">
        <v>1.7353000000000001</v>
      </c>
      <c r="K321" s="78">
        <f t="shared" ref="K321:K322" si="174">IF(F321=0,"",J321*I321)</f>
        <v>69.412000000000006</v>
      </c>
      <c r="L321" s="79">
        <v>112.98085</v>
      </c>
      <c r="M321" s="84">
        <v>8.5000000000000006E-2</v>
      </c>
      <c r="N321" s="80">
        <f t="shared" ref="N321:N322" si="175">L321*M321</f>
        <v>9.6033722499999996</v>
      </c>
      <c r="O321" s="78">
        <f t="shared" ref="O321:O322" si="176">I321*N321</f>
        <v>384.13488999999998</v>
      </c>
      <c r="P321" s="81">
        <f t="shared" ref="P321:P322" si="177">K321+O321</f>
        <v>453.54689000000002</v>
      </c>
      <c r="Q321" s="96"/>
    </row>
    <row r="322" spans="1:17" customFormat="1">
      <c r="A322" s="36" t="str">
        <f>IF(TRIM(G322)&lt;&gt;"",COUNTA(G$7:$G322)&amp;"","")</f>
        <v>236</v>
      </c>
      <c r="B322" s="37"/>
      <c r="C322" s="6"/>
      <c r="D322" s="38"/>
      <c r="E322" s="104" t="s">
        <v>300</v>
      </c>
      <c r="F322" s="40">
        <v>40</v>
      </c>
      <c r="G322" s="44" t="s">
        <v>85</v>
      </c>
      <c r="H322" s="42">
        <v>0</v>
      </c>
      <c r="I322" s="76">
        <f t="shared" si="169"/>
        <v>40</v>
      </c>
      <c r="J322" s="77">
        <v>2.1011199999999999</v>
      </c>
      <c r="K322" s="78">
        <f t="shared" si="174"/>
        <v>84.044799999999995</v>
      </c>
      <c r="L322" s="79">
        <v>112.98085</v>
      </c>
      <c r="M322" s="84">
        <v>0.13</v>
      </c>
      <c r="N322" s="80">
        <f t="shared" si="175"/>
        <v>14.6875105</v>
      </c>
      <c r="O322" s="78">
        <f t="shared" si="176"/>
        <v>587.50041999999996</v>
      </c>
      <c r="P322" s="81">
        <f t="shared" si="177"/>
        <v>671.54521999999997</v>
      </c>
      <c r="Q322" s="96"/>
    </row>
    <row r="323" spans="1:17" customFormat="1">
      <c r="A323" s="36" t="str">
        <f>IF(TRIM(G323)&lt;&gt;"",COUNTA(G$7:$G323)&amp;"","")</f>
        <v/>
      </c>
      <c r="B323" s="99"/>
      <c r="C323" s="100"/>
      <c r="D323" s="38"/>
      <c r="E323" s="123"/>
      <c r="F323" s="40"/>
      <c r="G323" s="44"/>
      <c r="H323" s="42"/>
      <c r="I323" s="76"/>
      <c r="J323" s="77"/>
      <c r="K323" s="78"/>
      <c r="L323" s="79"/>
      <c r="M323" s="84"/>
      <c r="N323" s="80"/>
      <c r="O323" s="78"/>
      <c r="P323" s="81"/>
      <c r="Q323" s="96"/>
    </row>
    <row r="324" spans="1:17" s="7" customFormat="1" ht="19.2" customHeight="1">
      <c r="A324" s="36" t="str">
        <f>IF(TRIM(G324)&lt;&gt;"",COUNTA(G$7:$G324)&amp;"","")</f>
        <v/>
      </c>
      <c r="B324" s="37"/>
      <c r="C324" s="37"/>
      <c r="D324" s="38"/>
      <c r="E324" s="101" t="s">
        <v>305</v>
      </c>
      <c r="F324" s="40"/>
      <c r="G324" s="41"/>
      <c r="H324" s="42"/>
      <c r="I324" s="76"/>
      <c r="J324" s="77"/>
      <c r="K324" s="78"/>
      <c r="L324" s="79"/>
      <c r="M324" s="80"/>
      <c r="N324" s="80"/>
      <c r="O324" s="78"/>
      <c r="P324" s="81"/>
      <c r="Q324" s="96"/>
    </row>
    <row r="325" spans="1:17" customFormat="1">
      <c r="A325" s="36" t="str">
        <f>IF(TRIM(G325)&lt;&gt;"",COUNTA(G$7:$G325)&amp;"","")</f>
        <v>237</v>
      </c>
      <c r="B325" s="37"/>
      <c r="C325" s="6"/>
      <c r="D325" s="38"/>
      <c r="E325" s="43" t="s">
        <v>306</v>
      </c>
      <c r="F325" s="40">
        <v>15</v>
      </c>
      <c r="G325" s="44" t="s">
        <v>82</v>
      </c>
      <c r="H325" s="42">
        <v>0.05</v>
      </c>
      <c r="I325" s="76">
        <f t="shared" ref="I325:I332" si="178">IF(F325=0,"",F325+(F325*H325))</f>
        <v>15.75</v>
      </c>
      <c r="J325" s="77">
        <v>1.1631199999999999</v>
      </c>
      <c r="K325" s="78">
        <f t="shared" ref="K325:K332" si="179">IF(F325=0,"",J325*I325)</f>
        <v>18.319140000000001</v>
      </c>
      <c r="L325" s="79">
        <v>96.555239999999998</v>
      </c>
      <c r="M325" s="84">
        <v>3.2000000000000001E-2</v>
      </c>
      <c r="N325" s="80">
        <f t="shared" ref="N325:N332" si="180">L325*M325</f>
        <v>3.08976768</v>
      </c>
      <c r="O325" s="78">
        <f t="shared" ref="O325:O332" si="181">I325*N325</f>
        <v>48.663840960000002</v>
      </c>
      <c r="P325" s="81">
        <f t="shared" ref="P325:P332" si="182">K325+O325</f>
        <v>66.982980960000006</v>
      </c>
      <c r="Q325" s="96"/>
    </row>
    <row r="326" spans="1:17" customFormat="1">
      <c r="A326" s="36" t="str">
        <f>IF(TRIM(G326)&lt;&gt;"",COUNTA(G$7:$G326)&amp;"","")</f>
        <v>238</v>
      </c>
      <c r="B326" s="37"/>
      <c r="C326" s="6"/>
      <c r="D326" s="38"/>
      <c r="E326" s="43" t="s">
        <v>307</v>
      </c>
      <c r="F326" s="40">
        <v>10</v>
      </c>
      <c r="G326" s="44" t="s">
        <v>82</v>
      </c>
      <c r="H326" s="42">
        <v>0.05</v>
      </c>
      <c r="I326" s="76">
        <f t="shared" si="178"/>
        <v>10.5</v>
      </c>
      <c r="J326" s="77">
        <v>3.9784941401273901</v>
      </c>
      <c r="K326" s="78">
        <f t="shared" si="179"/>
        <v>41.774188471337602</v>
      </c>
      <c r="L326" s="79">
        <v>96.555239999999998</v>
      </c>
      <c r="M326" s="84">
        <v>7.4717197452229295E-2</v>
      </c>
      <c r="N326" s="80">
        <f t="shared" si="180"/>
        <v>7.2143369321273898</v>
      </c>
      <c r="O326" s="78">
        <f t="shared" si="181"/>
        <v>75.750537787337606</v>
      </c>
      <c r="P326" s="81">
        <f t="shared" si="182"/>
        <v>117.524726258675</v>
      </c>
      <c r="Q326" s="96"/>
    </row>
    <row r="327" spans="1:17" customFormat="1">
      <c r="A327" s="36" t="str">
        <f>IF(TRIM(G327)&lt;&gt;"",COUNTA(G$7:$G327)&amp;"","")</f>
        <v>239</v>
      </c>
      <c r="B327" s="37"/>
      <c r="C327" s="6"/>
      <c r="D327" s="38"/>
      <c r="E327" s="43" t="s">
        <v>308</v>
      </c>
      <c r="F327" s="40">
        <v>20</v>
      </c>
      <c r="G327" s="44" t="s">
        <v>82</v>
      </c>
      <c r="H327" s="42">
        <v>0.05</v>
      </c>
      <c r="I327" s="76">
        <f t="shared" si="178"/>
        <v>21</v>
      </c>
      <c r="J327" s="77">
        <v>3.9784941401273901</v>
      </c>
      <c r="K327" s="78">
        <f t="shared" si="179"/>
        <v>83.548376942675105</v>
      </c>
      <c r="L327" s="79">
        <v>96.555239999999998</v>
      </c>
      <c r="M327" s="84">
        <v>7.4717197452229295E-2</v>
      </c>
      <c r="N327" s="80">
        <f t="shared" si="180"/>
        <v>7.2143369321273898</v>
      </c>
      <c r="O327" s="78">
        <f t="shared" si="181"/>
        <v>151.50107557467501</v>
      </c>
      <c r="P327" s="81">
        <f t="shared" si="182"/>
        <v>235.04945251735001</v>
      </c>
      <c r="Q327" s="96"/>
    </row>
    <row r="328" spans="1:17" customFormat="1">
      <c r="A328" s="36" t="str">
        <f>IF(TRIM(G328)&lt;&gt;"",COUNTA(G$7:$G328)&amp;"","")</f>
        <v>240</v>
      </c>
      <c r="B328" s="37"/>
      <c r="C328" s="6"/>
      <c r="D328" s="38"/>
      <c r="E328" s="43" t="s">
        <v>309</v>
      </c>
      <c r="F328" s="40">
        <v>20</v>
      </c>
      <c r="G328" s="44" t="s">
        <v>82</v>
      </c>
      <c r="H328" s="42">
        <v>0.05</v>
      </c>
      <c r="I328" s="76">
        <f t="shared" si="178"/>
        <v>21</v>
      </c>
      <c r="J328" s="77">
        <v>4.0095682944090596</v>
      </c>
      <c r="K328" s="78">
        <f t="shared" si="179"/>
        <v>84.200934182590203</v>
      </c>
      <c r="L328" s="79">
        <v>96.555239999999998</v>
      </c>
      <c r="M328" s="84">
        <v>7.5300778485491895E-2</v>
      </c>
      <c r="N328" s="80">
        <f t="shared" si="180"/>
        <v>7.2706847388535003</v>
      </c>
      <c r="O328" s="78">
        <f t="shared" si="181"/>
        <v>152.68437951592401</v>
      </c>
      <c r="P328" s="81">
        <f t="shared" si="182"/>
        <v>236.88531369851401</v>
      </c>
      <c r="Q328" s="96"/>
    </row>
    <row r="329" spans="1:17" customFormat="1">
      <c r="A329" s="36" t="str">
        <f>IF(TRIM(G329)&lt;&gt;"",COUNTA(G$7:$G329)&amp;"","")</f>
        <v>241</v>
      </c>
      <c r="B329" s="37"/>
      <c r="C329" s="6"/>
      <c r="D329" s="38"/>
      <c r="E329" s="43" t="s">
        <v>310</v>
      </c>
      <c r="F329" s="40">
        <v>25</v>
      </c>
      <c r="G329" s="44" t="s">
        <v>82</v>
      </c>
      <c r="H329" s="42">
        <v>0.05</v>
      </c>
      <c r="I329" s="76">
        <f t="shared" si="178"/>
        <v>26.25</v>
      </c>
      <c r="J329" s="77">
        <v>6.2649504600141501</v>
      </c>
      <c r="K329" s="78">
        <f t="shared" si="179"/>
        <v>164.45494957537201</v>
      </c>
      <c r="L329" s="79">
        <v>96.555239999999998</v>
      </c>
      <c r="M329" s="84">
        <v>0.117657466383581</v>
      </c>
      <c r="N329" s="80">
        <f t="shared" si="180"/>
        <v>11.3604449044586</v>
      </c>
      <c r="O329" s="78">
        <f t="shared" si="181"/>
        <v>298.21167874203798</v>
      </c>
      <c r="P329" s="81">
        <f t="shared" si="182"/>
        <v>462.66662831741002</v>
      </c>
      <c r="Q329" s="96"/>
    </row>
    <row r="330" spans="1:17" customFormat="1">
      <c r="A330" s="36" t="str">
        <f>IF(TRIM(G330)&lt;&gt;"",COUNTA(G$7:$G330)&amp;"","")</f>
        <v>242</v>
      </c>
      <c r="B330" s="37"/>
      <c r="C330" s="6"/>
      <c r="D330" s="38"/>
      <c r="E330" s="43" t="s">
        <v>311</v>
      </c>
      <c r="F330" s="40">
        <v>20</v>
      </c>
      <c r="G330" s="44" t="s">
        <v>82</v>
      </c>
      <c r="H330" s="42">
        <v>0.05</v>
      </c>
      <c r="I330" s="76">
        <f t="shared" si="178"/>
        <v>21</v>
      </c>
      <c r="J330" s="77">
        <v>2.2553821656050999</v>
      </c>
      <c r="K330" s="78">
        <f t="shared" si="179"/>
        <v>47.363025477706998</v>
      </c>
      <c r="L330" s="79">
        <v>96.555239999999998</v>
      </c>
      <c r="M330" s="84">
        <v>4.2356687898089197E-2</v>
      </c>
      <c r="N330" s="80">
        <f t="shared" si="180"/>
        <v>4.0897601656051004</v>
      </c>
      <c r="O330" s="78">
        <f t="shared" si="181"/>
        <v>85.884963477707004</v>
      </c>
      <c r="P330" s="81">
        <f t="shared" si="182"/>
        <v>133.247988955414</v>
      </c>
      <c r="Q330" s="96"/>
    </row>
    <row r="331" spans="1:17" customFormat="1">
      <c r="A331" s="36" t="str">
        <f>IF(TRIM(G331)&lt;&gt;"",COUNTA(G$7:$G331)&amp;"","")</f>
        <v>243</v>
      </c>
      <c r="B331" s="37"/>
      <c r="C331" s="6"/>
      <c r="D331" s="38"/>
      <c r="E331" s="43" t="s">
        <v>312</v>
      </c>
      <c r="F331" s="40">
        <v>55</v>
      </c>
      <c r="G331" s="44" t="s">
        <v>82</v>
      </c>
      <c r="H331" s="42">
        <v>0.05</v>
      </c>
      <c r="I331" s="76">
        <f t="shared" si="178"/>
        <v>57.75</v>
      </c>
      <c r="J331" s="77">
        <v>4.0095682944090596</v>
      </c>
      <c r="K331" s="78">
        <f t="shared" si="179"/>
        <v>231.55256900212299</v>
      </c>
      <c r="L331" s="79">
        <v>96.555239999999998</v>
      </c>
      <c r="M331" s="84">
        <v>7.5300778485491895E-2</v>
      </c>
      <c r="N331" s="80">
        <f t="shared" si="180"/>
        <v>7.2706847388535003</v>
      </c>
      <c r="O331" s="78">
        <f t="shared" si="181"/>
        <v>419.88204366879</v>
      </c>
      <c r="P331" s="81">
        <f t="shared" si="182"/>
        <v>651.434612670913</v>
      </c>
      <c r="Q331" s="96"/>
    </row>
    <row r="332" spans="1:17" customFormat="1">
      <c r="A332" s="36" t="str">
        <f>IF(TRIM(G332)&lt;&gt;"",COUNTA(G$7:$G332)&amp;"","")</f>
        <v>244</v>
      </c>
      <c r="B332" s="37"/>
      <c r="C332" s="6"/>
      <c r="D332" s="38"/>
      <c r="E332" s="43" t="s">
        <v>313</v>
      </c>
      <c r="F332" s="40">
        <v>85</v>
      </c>
      <c r="G332" s="44" t="s">
        <v>82</v>
      </c>
      <c r="H332" s="42">
        <v>0.05</v>
      </c>
      <c r="I332" s="76">
        <f t="shared" si="178"/>
        <v>89.25</v>
      </c>
      <c r="J332" s="77">
        <v>6.2649504600141501</v>
      </c>
      <c r="K332" s="78">
        <f t="shared" si="179"/>
        <v>559.14682855626302</v>
      </c>
      <c r="L332" s="79">
        <v>96.555239999999998</v>
      </c>
      <c r="M332" s="84">
        <v>0.117657466383581</v>
      </c>
      <c r="N332" s="80">
        <f t="shared" si="180"/>
        <v>11.3604449044586</v>
      </c>
      <c r="O332" s="78">
        <f t="shared" si="181"/>
        <v>1013.91970772293</v>
      </c>
      <c r="P332" s="81">
        <f t="shared" si="182"/>
        <v>1573.0665362791899</v>
      </c>
      <c r="Q332" s="96"/>
    </row>
    <row r="333" spans="1:17" customFormat="1">
      <c r="A333" s="36" t="str">
        <f>IF(TRIM(G333)&lt;&gt;"",COUNTA(G$7:$G333)&amp;"","")</f>
        <v/>
      </c>
      <c r="B333" s="37"/>
      <c r="C333" s="6"/>
      <c r="D333" s="38"/>
      <c r="E333" s="43"/>
      <c r="F333" s="40"/>
      <c r="G333" s="44"/>
      <c r="H333" s="42"/>
      <c r="I333" s="76"/>
      <c r="J333" s="77"/>
      <c r="K333" s="78"/>
      <c r="L333" s="79"/>
      <c r="M333" s="84"/>
      <c r="N333" s="80"/>
      <c r="O333" s="78"/>
      <c r="P333" s="81"/>
      <c r="Q333" s="96"/>
    </row>
    <row r="334" spans="1:17" s="7" customFormat="1" ht="19.2" customHeight="1">
      <c r="A334" s="36" t="str">
        <f>IF(TRIM(G334)&lt;&gt;"",COUNTA(G$7:$G334)&amp;"","")</f>
        <v/>
      </c>
      <c r="B334" s="37"/>
      <c r="C334" s="37"/>
      <c r="D334" s="38"/>
      <c r="E334" s="102" t="s">
        <v>314</v>
      </c>
      <c r="F334" s="40"/>
      <c r="G334" s="41"/>
      <c r="H334" s="42"/>
      <c r="I334" s="76"/>
      <c r="J334" s="77"/>
      <c r="K334" s="78"/>
      <c r="L334" s="79"/>
      <c r="M334" s="80"/>
      <c r="N334" s="80"/>
      <c r="O334" s="78"/>
      <c r="P334" s="81"/>
      <c r="Q334" s="96"/>
    </row>
    <row r="335" spans="1:17" customFormat="1">
      <c r="A335" s="36" t="str">
        <f>IF(TRIM(G335)&lt;&gt;"",COUNTA(G$7:$G335)&amp;"","")</f>
        <v>245</v>
      </c>
      <c r="B335" s="37"/>
      <c r="C335" s="6"/>
      <c r="D335" s="38"/>
      <c r="E335" s="43" t="s">
        <v>315</v>
      </c>
      <c r="F335" s="40">
        <v>3</v>
      </c>
      <c r="G335" s="44" t="s">
        <v>85</v>
      </c>
      <c r="H335" s="42">
        <v>0</v>
      </c>
      <c r="I335" s="76">
        <f t="shared" ref="I335:I343" si="183">IF(F335=0,"",F335+(F335*H335))</f>
        <v>3</v>
      </c>
      <c r="J335" s="77">
        <v>15.3365987261146</v>
      </c>
      <c r="K335" s="78">
        <f t="shared" ref="K335:K343" si="184">IF(F335=0,"",J335*I335)</f>
        <v>46.009796178343898</v>
      </c>
      <c r="L335" s="79">
        <v>96.555239999999998</v>
      </c>
      <c r="M335" s="84">
        <v>0.27531847133757997</v>
      </c>
      <c r="N335" s="80">
        <f t="shared" ref="N335:N343" si="185">L335*M335</f>
        <v>26.5834410764331</v>
      </c>
      <c r="O335" s="78">
        <f t="shared" ref="O335:O343" si="186">I335*N335</f>
        <v>79.750323229299397</v>
      </c>
      <c r="P335" s="81">
        <f t="shared" ref="P335:P343" si="187">K335+O335</f>
        <v>125.760119407643</v>
      </c>
      <c r="Q335" s="96"/>
    </row>
    <row r="336" spans="1:17" customFormat="1">
      <c r="A336" s="36" t="str">
        <f>IF(TRIM(G336)&lt;&gt;"",COUNTA(G$7:$G336)&amp;"","")</f>
        <v>246</v>
      </c>
      <c r="B336" s="37"/>
      <c r="C336" s="6"/>
      <c r="D336" s="38"/>
      <c r="E336" s="43" t="s">
        <v>316</v>
      </c>
      <c r="F336" s="40">
        <v>2</v>
      </c>
      <c r="G336" s="44" t="s">
        <v>85</v>
      </c>
      <c r="H336" s="42">
        <v>0</v>
      </c>
      <c r="I336" s="76">
        <f t="shared" si="183"/>
        <v>2</v>
      </c>
      <c r="J336" s="77">
        <v>27.265064401981601</v>
      </c>
      <c r="K336" s="78">
        <f t="shared" si="184"/>
        <v>54.530128803963201</v>
      </c>
      <c r="L336" s="79">
        <v>96.555239999999998</v>
      </c>
      <c r="M336" s="84">
        <v>0.48945506015569701</v>
      </c>
      <c r="N336" s="80">
        <f t="shared" si="185"/>
        <v>47.259450802547804</v>
      </c>
      <c r="O336" s="78">
        <f t="shared" si="186"/>
        <v>94.518901605095607</v>
      </c>
      <c r="P336" s="81">
        <f t="shared" si="187"/>
        <v>149.04903040905899</v>
      </c>
      <c r="Q336" s="96"/>
    </row>
    <row r="337" spans="1:17" customFormat="1">
      <c r="A337" s="36" t="str">
        <f>IF(TRIM(G337)&lt;&gt;"",COUNTA(G$7:$G337)&amp;"","")</f>
        <v>247</v>
      </c>
      <c r="B337" s="37"/>
      <c r="C337" s="6"/>
      <c r="D337" s="38"/>
      <c r="E337" s="43" t="s">
        <v>317</v>
      </c>
      <c r="F337" s="40">
        <v>2</v>
      </c>
      <c r="G337" s="44" t="s">
        <v>85</v>
      </c>
      <c r="H337" s="42">
        <v>0</v>
      </c>
      <c r="I337" s="76">
        <f t="shared" si="183"/>
        <v>2</v>
      </c>
      <c r="J337" s="77">
        <v>27.265064401981601</v>
      </c>
      <c r="K337" s="78">
        <f t="shared" si="184"/>
        <v>54.530128803963201</v>
      </c>
      <c r="L337" s="79">
        <v>96.555239999999998</v>
      </c>
      <c r="M337" s="84">
        <v>0.48945506015569701</v>
      </c>
      <c r="N337" s="80">
        <f t="shared" si="185"/>
        <v>47.259450802547804</v>
      </c>
      <c r="O337" s="78">
        <f t="shared" si="186"/>
        <v>94.518901605095607</v>
      </c>
      <c r="P337" s="81">
        <f t="shared" si="187"/>
        <v>149.04903040905899</v>
      </c>
      <c r="Q337" s="96"/>
    </row>
    <row r="338" spans="1:17" customFormat="1">
      <c r="A338" s="36" t="str">
        <f>IF(TRIM(G338)&lt;&gt;"",COUNTA(G$7:$G338)&amp;"","")</f>
        <v>248</v>
      </c>
      <c r="B338" s="37"/>
      <c r="C338" s="6"/>
      <c r="D338" s="38"/>
      <c r="E338" s="43" t="s">
        <v>318</v>
      </c>
      <c r="F338" s="40">
        <v>6</v>
      </c>
      <c r="G338" s="44" t="s">
        <v>85</v>
      </c>
      <c r="H338" s="42">
        <v>0</v>
      </c>
      <c r="I338" s="76">
        <f t="shared" si="183"/>
        <v>6</v>
      </c>
      <c r="J338" s="77">
        <v>42.601663128096199</v>
      </c>
      <c r="K338" s="78">
        <f t="shared" si="184"/>
        <v>255.60997876857701</v>
      </c>
      <c r="L338" s="79">
        <v>96.555239999999998</v>
      </c>
      <c r="M338" s="84">
        <v>0.76477353149327698</v>
      </c>
      <c r="N338" s="80">
        <f t="shared" si="185"/>
        <v>73.842891878980893</v>
      </c>
      <c r="O338" s="78">
        <f t="shared" si="186"/>
        <v>443.05735127388499</v>
      </c>
      <c r="P338" s="81">
        <f t="shared" si="187"/>
        <v>698.66733004246305</v>
      </c>
      <c r="Q338" s="96"/>
    </row>
    <row r="339" spans="1:17" customFormat="1">
      <c r="A339" s="36" t="str">
        <f>IF(TRIM(G339)&lt;&gt;"",COUNTA(G$7:$G339)&amp;"","")</f>
        <v>249</v>
      </c>
      <c r="B339" s="37"/>
      <c r="C339" s="6"/>
      <c r="D339" s="38"/>
      <c r="E339" s="43" t="s">
        <v>319</v>
      </c>
      <c r="F339" s="40">
        <v>1</v>
      </c>
      <c r="G339" s="44" t="s">
        <v>85</v>
      </c>
      <c r="H339" s="42">
        <v>0</v>
      </c>
      <c r="I339" s="76">
        <f t="shared" si="183"/>
        <v>1</v>
      </c>
      <c r="J339" s="77">
        <v>15.7876751592357</v>
      </c>
      <c r="K339" s="78">
        <f t="shared" si="184"/>
        <v>15.7876751592357</v>
      </c>
      <c r="L339" s="79">
        <v>96.555239999999998</v>
      </c>
      <c r="M339" s="84">
        <v>0.28802547770700598</v>
      </c>
      <c r="N339" s="80">
        <f t="shared" si="185"/>
        <v>27.810369126114701</v>
      </c>
      <c r="O339" s="78">
        <f t="shared" si="186"/>
        <v>27.810369126114701</v>
      </c>
      <c r="P339" s="81">
        <f t="shared" si="187"/>
        <v>43.598044285350298</v>
      </c>
      <c r="Q339" s="96"/>
    </row>
    <row r="340" spans="1:17" customFormat="1">
      <c r="A340" s="36" t="str">
        <f>IF(TRIM(G340)&lt;&gt;"",COUNTA(G$7:$G340)&amp;"","")</f>
        <v>250</v>
      </c>
      <c r="B340" s="37"/>
      <c r="C340" s="6"/>
      <c r="D340" s="38"/>
      <c r="E340" s="43" t="s">
        <v>320</v>
      </c>
      <c r="F340" s="40">
        <v>7</v>
      </c>
      <c r="G340" s="44" t="s">
        <v>85</v>
      </c>
      <c r="H340" s="42">
        <v>0</v>
      </c>
      <c r="I340" s="76">
        <f t="shared" si="183"/>
        <v>7</v>
      </c>
      <c r="J340" s="77">
        <v>28.066978060863399</v>
      </c>
      <c r="K340" s="78">
        <f t="shared" si="184"/>
        <v>196.468846426044</v>
      </c>
      <c r="L340" s="79">
        <v>96.555239999999998</v>
      </c>
      <c r="M340" s="84">
        <v>0.51204529370134499</v>
      </c>
      <c r="N340" s="80">
        <f t="shared" si="185"/>
        <v>49.440656224203799</v>
      </c>
      <c r="O340" s="78">
        <f t="shared" si="186"/>
        <v>346.084593569427</v>
      </c>
      <c r="P340" s="81">
        <f t="shared" si="187"/>
        <v>542.55343999547097</v>
      </c>
      <c r="Q340" s="96"/>
    </row>
    <row r="341" spans="1:17" customFormat="1">
      <c r="A341" s="36" t="str">
        <f>IF(TRIM(G341)&lt;&gt;"",COUNTA(G$7:$G341)&amp;"","")</f>
        <v>251</v>
      </c>
      <c r="B341" s="37"/>
      <c r="C341" s="6"/>
      <c r="D341" s="38"/>
      <c r="E341" s="43" t="s">
        <v>321</v>
      </c>
      <c r="F341" s="40">
        <v>4</v>
      </c>
      <c r="G341" s="44" t="s">
        <v>85</v>
      </c>
      <c r="H341" s="42">
        <v>0</v>
      </c>
      <c r="I341" s="76">
        <f t="shared" si="183"/>
        <v>4</v>
      </c>
      <c r="J341" s="77">
        <v>43.854653220099102</v>
      </c>
      <c r="K341" s="78">
        <f t="shared" si="184"/>
        <v>175.41861288039601</v>
      </c>
      <c r="L341" s="79">
        <v>96.555239999999998</v>
      </c>
      <c r="M341" s="84">
        <v>0.80007077140835103</v>
      </c>
      <c r="N341" s="80">
        <f t="shared" si="185"/>
        <v>77.2510253503185</v>
      </c>
      <c r="O341" s="78">
        <f t="shared" si="186"/>
        <v>309.004101401274</v>
      </c>
      <c r="P341" s="81">
        <f t="shared" si="187"/>
        <v>484.42271428166998</v>
      </c>
      <c r="Q341" s="96"/>
    </row>
    <row r="342" spans="1:17" customFormat="1">
      <c r="A342" s="36" t="str">
        <f>IF(TRIM(G342)&lt;&gt;"",COUNTA(G$7:$G342)&amp;"","")</f>
        <v>252</v>
      </c>
      <c r="B342" s="37"/>
      <c r="C342" s="6"/>
      <c r="D342" s="38"/>
      <c r="E342" s="43" t="s">
        <v>322</v>
      </c>
      <c r="F342" s="40">
        <v>1</v>
      </c>
      <c r="G342" s="44" t="s">
        <v>85</v>
      </c>
      <c r="H342" s="42">
        <v>0</v>
      </c>
      <c r="I342" s="76">
        <f t="shared" si="183"/>
        <v>1</v>
      </c>
      <c r="J342" s="77">
        <v>27.265064401981601</v>
      </c>
      <c r="K342" s="78">
        <f t="shared" si="184"/>
        <v>27.265064401981601</v>
      </c>
      <c r="L342" s="79">
        <v>96.555239999999998</v>
      </c>
      <c r="M342" s="84">
        <v>0.48945506015569701</v>
      </c>
      <c r="N342" s="80">
        <f t="shared" si="185"/>
        <v>47.259450802547804</v>
      </c>
      <c r="O342" s="78">
        <f t="shared" si="186"/>
        <v>47.259450802547804</v>
      </c>
      <c r="P342" s="81">
        <f t="shared" si="187"/>
        <v>74.524515204529393</v>
      </c>
      <c r="Q342" s="96"/>
    </row>
    <row r="343" spans="1:17" customFormat="1">
      <c r="A343" s="36" t="str">
        <f>IF(TRIM(G343)&lt;&gt;"",COUNTA(G$7:$G343)&amp;"","")</f>
        <v>253</v>
      </c>
      <c r="B343" s="37"/>
      <c r="C343" s="6"/>
      <c r="D343" s="38"/>
      <c r="E343" s="43" t="s">
        <v>323</v>
      </c>
      <c r="F343" s="40">
        <v>1</v>
      </c>
      <c r="G343" s="44" t="s">
        <v>85</v>
      </c>
      <c r="H343" s="42">
        <v>0</v>
      </c>
      <c r="I343" s="76">
        <f t="shared" si="183"/>
        <v>1</v>
      </c>
      <c r="J343" s="77">
        <v>43.854653220099102</v>
      </c>
      <c r="K343" s="78">
        <f t="shared" si="184"/>
        <v>43.854653220099102</v>
      </c>
      <c r="L343" s="79">
        <v>96.555239999999998</v>
      </c>
      <c r="M343" s="84">
        <v>0.80007077140835103</v>
      </c>
      <c r="N343" s="80">
        <f t="shared" si="185"/>
        <v>77.2510253503185</v>
      </c>
      <c r="O343" s="78">
        <f t="shared" si="186"/>
        <v>77.2510253503185</v>
      </c>
      <c r="P343" s="81">
        <f t="shared" si="187"/>
        <v>121.10567857041799</v>
      </c>
      <c r="Q343" s="96"/>
    </row>
    <row r="344" spans="1:17" customFormat="1">
      <c r="A344" s="36" t="str">
        <f>IF(TRIM(G344)&lt;&gt;"",COUNTA(G$7:$G344)&amp;"","")</f>
        <v/>
      </c>
      <c r="B344" s="37"/>
      <c r="C344" s="100"/>
      <c r="D344" s="38"/>
      <c r="E344" s="103"/>
      <c r="F344" s="40"/>
      <c r="G344" s="44"/>
      <c r="H344" s="42"/>
      <c r="I344" s="76"/>
      <c r="J344" s="77"/>
      <c r="K344" s="78"/>
      <c r="L344" s="79"/>
      <c r="M344" s="84"/>
      <c r="N344" s="80"/>
      <c r="O344" s="78"/>
      <c r="P344" s="81"/>
      <c r="Q344" s="96"/>
    </row>
    <row r="345" spans="1:17" s="7" customFormat="1" ht="19.2" customHeight="1">
      <c r="A345" s="36" t="str">
        <f>IF(TRIM(G345)&lt;&gt;"",COUNTA(G$7:$G345)&amp;"","")</f>
        <v/>
      </c>
      <c r="B345" s="37"/>
      <c r="C345" s="37"/>
      <c r="D345" s="38"/>
      <c r="E345" s="102" t="s">
        <v>324</v>
      </c>
      <c r="F345" s="40"/>
      <c r="G345" s="41"/>
      <c r="H345" s="42"/>
      <c r="I345" s="76"/>
      <c r="J345" s="77"/>
      <c r="K345" s="78"/>
      <c r="L345" s="79"/>
      <c r="M345" s="80"/>
      <c r="N345" s="80"/>
      <c r="O345" s="78"/>
      <c r="P345" s="81"/>
      <c r="Q345" s="96"/>
    </row>
    <row r="346" spans="1:17" customFormat="1">
      <c r="A346" s="36" t="str">
        <f>IF(TRIM(G346)&lt;&gt;"",COUNTA(G$7:$G346)&amp;"","")</f>
        <v>254</v>
      </c>
      <c r="B346" s="37"/>
      <c r="C346" s="6"/>
      <c r="D346" s="38"/>
      <c r="E346" s="43" t="s">
        <v>325</v>
      </c>
      <c r="F346" s="40">
        <v>1</v>
      </c>
      <c r="G346" s="44" t="s">
        <v>85</v>
      </c>
      <c r="H346" s="42">
        <v>0</v>
      </c>
      <c r="I346" s="76">
        <f t="shared" ref="I346:I350" si="188">IF(F346=0,"",F346+(F346*H346))</f>
        <v>1</v>
      </c>
      <c r="J346" s="77">
        <v>43.148000000000003</v>
      </c>
      <c r="K346" s="78">
        <f t="shared" ref="K346:K350" si="189">IF(F346=0,"",J346*I346)</f>
        <v>43.148000000000003</v>
      </c>
      <c r="L346" s="79">
        <v>109.2119</v>
      </c>
      <c r="M346" s="84">
        <v>0.377</v>
      </c>
      <c r="N346" s="80">
        <f t="shared" ref="N346:N350" si="190">L346*M346</f>
        <v>41.172886300000002</v>
      </c>
      <c r="O346" s="78">
        <f t="shared" ref="O346:O350" si="191">I346*N346</f>
        <v>41.172886300000002</v>
      </c>
      <c r="P346" s="81">
        <f t="shared" ref="P346:P350" si="192">K346+O346</f>
        <v>84.320886299999998</v>
      </c>
      <c r="Q346" s="96"/>
    </row>
    <row r="347" spans="1:17" customFormat="1">
      <c r="A347" s="36" t="str">
        <f>IF(TRIM(G347)&lt;&gt;"",COUNTA(G$7:$G347)&amp;"","")</f>
        <v>255</v>
      </c>
      <c r="B347" s="37"/>
      <c r="C347" s="6"/>
      <c r="D347" s="38"/>
      <c r="E347" s="43" t="s">
        <v>326</v>
      </c>
      <c r="F347" s="40">
        <v>13</v>
      </c>
      <c r="G347" s="44" t="s">
        <v>85</v>
      </c>
      <c r="H347" s="42">
        <v>0</v>
      </c>
      <c r="I347" s="76">
        <f t="shared" si="188"/>
        <v>13</v>
      </c>
      <c r="J347" s="77">
        <v>82.543999999999997</v>
      </c>
      <c r="K347" s="78">
        <f t="shared" si="189"/>
        <v>1073.0719999999999</v>
      </c>
      <c r="L347" s="79">
        <v>109.2119</v>
      </c>
      <c r="M347" s="84">
        <v>0.746</v>
      </c>
      <c r="N347" s="80">
        <f t="shared" si="190"/>
        <v>81.472077400000003</v>
      </c>
      <c r="O347" s="78">
        <f t="shared" si="191"/>
        <v>1059.1370062000001</v>
      </c>
      <c r="P347" s="81">
        <f t="shared" si="192"/>
        <v>2132.2090062000002</v>
      </c>
      <c r="Q347" s="96"/>
    </row>
    <row r="348" spans="1:17" customFormat="1" ht="28.8">
      <c r="A348" s="36" t="str">
        <f>IF(TRIM(G348)&lt;&gt;"",COUNTA(G$7:$G348)&amp;"","")</f>
        <v>256</v>
      </c>
      <c r="B348" s="37"/>
      <c r="C348" s="6"/>
      <c r="D348" s="38"/>
      <c r="E348" s="43" t="s">
        <v>327</v>
      </c>
      <c r="F348" s="40">
        <v>1</v>
      </c>
      <c r="G348" s="44" t="s">
        <v>85</v>
      </c>
      <c r="H348" s="42">
        <v>0</v>
      </c>
      <c r="I348" s="76">
        <f t="shared" si="188"/>
        <v>1</v>
      </c>
      <c r="J348" s="77">
        <v>1113.4059999999999</v>
      </c>
      <c r="K348" s="78">
        <f t="shared" si="189"/>
        <v>1113.4059999999999</v>
      </c>
      <c r="L348" s="79">
        <v>100.14888999999999</v>
      </c>
      <c r="M348" s="84">
        <v>3.21</v>
      </c>
      <c r="N348" s="80">
        <f t="shared" si="190"/>
        <v>321.47793689999997</v>
      </c>
      <c r="O348" s="78">
        <f t="shared" si="191"/>
        <v>321.47793689999997</v>
      </c>
      <c r="P348" s="81">
        <f t="shared" si="192"/>
        <v>1434.8839369</v>
      </c>
      <c r="Q348" s="96"/>
    </row>
    <row r="349" spans="1:17" customFormat="1">
      <c r="A349" s="36" t="str">
        <f>IF(TRIM(G349)&lt;&gt;"",COUNTA(G$7:$G349)&amp;"","")</f>
        <v>257</v>
      </c>
      <c r="B349" s="37"/>
      <c r="C349" s="6"/>
      <c r="D349" s="38"/>
      <c r="E349" s="43" t="s">
        <v>328</v>
      </c>
      <c r="F349" s="40">
        <v>1</v>
      </c>
      <c r="G349" s="44" t="s">
        <v>85</v>
      </c>
      <c r="H349" s="42">
        <v>0</v>
      </c>
      <c r="I349" s="76">
        <f t="shared" si="188"/>
        <v>1</v>
      </c>
      <c r="J349" s="77">
        <v>1313.2</v>
      </c>
      <c r="K349" s="78">
        <f t="shared" si="189"/>
        <v>1313.2</v>
      </c>
      <c r="L349" s="79">
        <v>100.14888999999999</v>
      </c>
      <c r="M349" s="84">
        <v>4.41</v>
      </c>
      <c r="N349" s="80">
        <f t="shared" si="190"/>
        <v>441.65660489999999</v>
      </c>
      <c r="O349" s="78">
        <f t="shared" si="191"/>
        <v>441.65660489999999</v>
      </c>
      <c r="P349" s="81">
        <f t="shared" si="192"/>
        <v>1754.8566049000001</v>
      </c>
      <c r="Q349" s="96"/>
    </row>
    <row r="350" spans="1:17" customFormat="1">
      <c r="A350" s="36" t="str">
        <f>IF(TRIM(G350)&lt;&gt;"",COUNTA(G$7:$G350)&amp;"","")</f>
        <v>258</v>
      </c>
      <c r="B350" s="37"/>
      <c r="C350" s="6"/>
      <c r="D350" s="38"/>
      <c r="E350" s="43" t="s">
        <v>329</v>
      </c>
      <c r="F350" s="40">
        <v>1</v>
      </c>
      <c r="G350" s="44" t="s">
        <v>85</v>
      </c>
      <c r="H350" s="42">
        <v>0</v>
      </c>
      <c r="I350" s="76">
        <f t="shared" si="188"/>
        <v>1</v>
      </c>
      <c r="J350" s="77">
        <v>797.3</v>
      </c>
      <c r="K350" s="78">
        <f t="shared" si="189"/>
        <v>797.3</v>
      </c>
      <c r="L350" s="79">
        <v>109.2119</v>
      </c>
      <c r="M350" s="84">
        <v>2.4209999999999998</v>
      </c>
      <c r="N350" s="80">
        <f t="shared" si="190"/>
        <v>264.4020099</v>
      </c>
      <c r="O350" s="78">
        <f t="shared" si="191"/>
        <v>264.4020099</v>
      </c>
      <c r="P350" s="81">
        <f t="shared" si="192"/>
        <v>1061.7020098999999</v>
      </c>
      <c r="Q350" s="96"/>
    </row>
    <row r="351" spans="1:17" customFormat="1">
      <c r="A351" s="36" t="str">
        <f>IF(TRIM(G351)&lt;&gt;"",COUNTA(G$7:$G351)&amp;"","")</f>
        <v/>
      </c>
      <c r="B351" s="37"/>
      <c r="C351" s="100"/>
      <c r="D351" s="38"/>
      <c r="E351" s="103"/>
      <c r="F351" s="40"/>
      <c r="G351" s="44"/>
      <c r="H351" s="42"/>
      <c r="I351" s="76"/>
      <c r="J351" s="77"/>
      <c r="K351" s="78"/>
      <c r="L351" s="79"/>
      <c r="M351" s="84"/>
      <c r="N351" s="80"/>
      <c r="O351" s="78"/>
      <c r="P351" s="81"/>
      <c r="Q351" s="96"/>
    </row>
    <row r="352" spans="1:17" s="7" customFormat="1" ht="19.2" customHeight="1">
      <c r="A352" s="36" t="str">
        <f>IF(TRIM(G352)&lt;&gt;"",COUNTA(G$7:$G352)&amp;"","")</f>
        <v/>
      </c>
      <c r="B352" s="37"/>
      <c r="C352" s="37"/>
      <c r="D352" s="38"/>
      <c r="E352" s="102" t="s">
        <v>330</v>
      </c>
      <c r="F352" s="40"/>
      <c r="G352" s="41"/>
      <c r="H352" s="42"/>
      <c r="I352" s="76"/>
      <c r="J352" s="77"/>
      <c r="K352" s="78"/>
      <c r="L352" s="79"/>
      <c r="M352" s="80"/>
      <c r="N352" s="80"/>
      <c r="O352" s="78"/>
      <c r="P352" s="81"/>
      <c r="Q352" s="96"/>
    </row>
    <row r="353" spans="1:17" customFormat="1" ht="28.8">
      <c r="A353" s="36" t="str">
        <f>IF(TRIM(G353)&lt;&gt;"",COUNTA(G$7:$G353)&amp;"","")</f>
        <v>259</v>
      </c>
      <c r="B353" s="37"/>
      <c r="C353" s="6"/>
      <c r="D353" s="38"/>
      <c r="E353" s="43" t="s">
        <v>331</v>
      </c>
      <c r="F353" s="40">
        <v>2</v>
      </c>
      <c r="G353" s="44" t="s">
        <v>85</v>
      </c>
      <c r="H353" s="42">
        <v>0</v>
      </c>
      <c r="I353" s="76">
        <f t="shared" ref="I353:I357" si="193">IF(F353=0,"",F353+(F353*H353))</f>
        <v>2</v>
      </c>
      <c r="J353" s="77">
        <v>168.84</v>
      </c>
      <c r="K353" s="78">
        <f t="shared" ref="K353:K357" si="194">IF(F353=0,"",J353*I353)</f>
        <v>337.68</v>
      </c>
      <c r="L353" s="79">
        <v>109.2119</v>
      </c>
      <c r="M353" s="84">
        <v>0.66600000000000004</v>
      </c>
      <c r="N353" s="80">
        <f t="shared" ref="N353:N357" si="195">L353*M353</f>
        <v>72.735125400000001</v>
      </c>
      <c r="O353" s="78">
        <f t="shared" ref="O353:O357" si="196">I353*N353</f>
        <v>145.4702508</v>
      </c>
      <c r="P353" s="81">
        <f t="shared" ref="P353:P357" si="197">K353+O353</f>
        <v>483.15025079999998</v>
      </c>
      <c r="Q353" s="96"/>
    </row>
    <row r="354" spans="1:17" customFormat="1" ht="28.8">
      <c r="A354" s="36" t="str">
        <f>IF(TRIM(G354)&lt;&gt;"",COUNTA(G$7:$G354)&amp;"","")</f>
        <v>260</v>
      </c>
      <c r="B354" s="37"/>
      <c r="C354" s="6"/>
      <c r="D354" s="38"/>
      <c r="E354" s="43" t="s">
        <v>332</v>
      </c>
      <c r="F354" s="40">
        <v>7</v>
      </c>
      <c r="G354" s="44" t="s">
        <v>85</v>
      </c>
      <c r="H354" s="42">
        <v>0</v>
      </c>
      <c r="I354" s="76">
        <f t="shared" si="193"/>
        <v>7</v>
      </c>
      <c r="J354" s="77">
        <v>168.84</v>
      </c>
      <c r="K354" s="78">
        <f t="shared" si="194"/>
        <v>1181.8800000000001</v>
      </c>
      <c r="L354" s="79">
        <v>109.2119</v>
      </c>
      <c r="M354" s="84">
        <v>0.66600000000000004</v>
      </c>
      <c r="N354" s="80">
        <f t="shared" si="195"/>
        <v>72.735125400000001</v>
      </c>
      <c r="O354" s="78">
        <f t="shared" si="196"/>
        <v>509.14587779999999</v>
      </c>
      <c r="P354" s="81">
        <f t="shared" si="197"/>
        <v>1691.0258778</v>
      </c>
      <c r="Q354" s="96"/>
    </row>
    <row r="355" spans="1:17" customFormat="1" ht="28.8">
      <c r="A355" s="36" t="str">
        <f>IF(TRIM(G355)&lt;&gt;"",COUNTA(G$7:$G355)&amp;"","")</f>
        <v>261</v>
      </c>
      <c r="B355" s="37"/>
      <c r="C355" s="6"/>
      <c r="D355" s="38"/>
      <c r="E355" s="43" t="s">
        <v>333</v>
      </c>
      <c r="F355" s="40">
        <v>1</v>
      </c>
      <c r="G355" s="44" t="s">
        <v>85</v>
      </c>
      <c r="H355" s="42">
        <v>0</v>
      </c>
      <c r="I355" s="76">
        <f t="shared" si="193"/>
        <v>1</v>
      </c>
      <c r="J355" s="77">
        <v>120.06399999999999</v>
      </c>
      <c r="K355" s="78">
        <f t="shared" si="194"/>
        <v>120.06399999999999</v>
      </c>
      <c r="L355" s="79">
        <v>109.2119</v>
      </c>
      <c r="M355" s="84">
        <v>0.498</v>
      </c>
      <c r="N355" s="80">
        <f t="shared" si="195"/>
        <v>54.387526200000003</v>
      </c>
      <c r="O355" s="78">
        <f t="shared" si="196"/>
        <v>54.387526200000003</v>
      </c>
      <c r="P355" s="81">
        <f t="shared" si="197"/>
        <v>174.45152619999999</v>
      </c>
      <c r="Q355" s="96"/>
    </row>
    <row r="356" spans="1:17" customFormat="1" ht="28.8">
      <c r="A356" s="36" t="str">
        <f>IF(TRIM(G356)&lt;&gt;"",COUNTA(G$7:$G356)&amp;"","")</f>
        <v>262</v>
      </c>
      <c r="B356" s="37"/>
      <c r="C356" s="6"/>
      <c r="D356" s="38"/>
      <c r="E356" s="43" t="s">
        <v>334</v>
      </c>
      <c r="F356" s="40">
        <v>2</v>
      </c>
      <c r="G356" s="44" t="s">
        <v>85</v>
      </c>
      <c r="H356" s="42">
        <v>0</v>
      </c>
      <c r="I356" s="76">
        <f t="shared" si="193"/>
        <v>2</v>
      </c>
      <c r="J356" s="77">
        <v>98.49</v>
      </c>
      <c r="K356" s="78">
        <f t="shared" si="194"/>
        <v>196.98</v>
      </c>
      <c r="L356" s="79">
        <v>109.2119</v>
      </c>
      <c r="M356" s="84">
        <v>0.41</v>
      </c>
      <c r="N356" s="80">
        <f t="shared" si="195"/>
        <v>44.776879000000001</v>
      </c>
      <c r="O356" s="78">
        <f t="shared" si="196"/>
        <v>89.553758000000002</v>
      </c>
      <c r="P356" s="81">
        <f t="shared" si="197"/>
        <v>286.53375799999998</v>
      </c>
      <c r="Q356" s="96"/>
    </row>
    <row r="357" spans="1:17" customFormat="1" ht="28.8">
      <c r="A357" s="36" t="str">
        <f>IF(TRIM(G357)&lt;&gt;"",COUNTA(G$7:$G357)&amp;"","")</f>
        <v>263</v>
      </c>
      <c r="B357" s="37"/>
      <c r="C357" s="6"/>
      <c r="D357" s="38"/>
      <c r="E357" s="43" t="s">
        <v>335</v>
      </c>
      <c r="F357" s="40">
        <v>6</v>
      </c>
      <c r="G357" s="44" t="s">
        <v>85</v>
      </c>
      <c r="H357" s="42">
        <v>0</v>
      </c>
      <c r="I357" s="76">
        <f t="shared" si="193"/>
        <v>6</v>
      </c>
      <c r="J357" s="77">
        <v>168.84</v>
      </c>
      <c r="K357" s="78">
        <f t="shared" si="194"/>
        <v>1013.04</v>
      </c>
      <c r="L357" s="79">
        <v>109.2119</v>
      </c>
      <c r="M357" s="84">
        <v>0.66600000000000004</v>
      </c>
      <c r="N357" s="80">
        <f t="shared" si="195"/>
        <v>72.735125400000001</v>
      </c>
      <c r="O357" s="78">
        <f t="shared" si="196"/>
        <v>436.41075239999998</v>
      </c>
      <c r="P357" s="81">
        <f t="shared" si="197"/>
        <v>1449.4507524000001</v>
      </c>
      <c r="Q357" s="96"/>
    </row>
    <row r="358" spans="1:17" customFormat="1">
      <c r="A358" s="36" t="str">
        <f>IF(TRIM(G358)&lt;&gt;"",COUNTA(G$7:$G358)&amp;"","")</f>
        <v/>
      </c>
      <c r="B358" s="37"/>
      <c r="C358" s="100"/>
      <c r="D358" s="38"/>
      <c r="E358" s="103"/>
      <c r="F358" s="40"/>
      <c r="G358" s="44"/>
      <c r="H358" s="42"/>
      <c r="I358" s="76"/>
      <c r="J358" s="77"/>
      <c r="K358" s="78"/>
      <c r="L358" s="79"/>
      <c r="M358" s="84"/>
      <c r="N358" s="80"/>
      <c r="O358" s="78"/>
      <c r="P358" s="81"/>
      <c r="Q358" s="96"/>
    </row>
    <row r="359" spans="1:17" s="7" customFormat="1" ht="19.2" customHeight="1">
      <c r="A359" s="36" t="str">
        <f>IF(TRIM(G359)&lt;&gt;"",COUNTA(G$7:$G359)&amp;"","")</f>
        <v/>
      </c>
      <c r="B359" s="37"/>
      <c r="C359" s="37"/>
      <c r="D359" s="38"/>
      <c r="E359" s="102" t="s">
        <v>260</v>
      </c>
      <c r="F359" s="40"/>
      <c r="G359" s="41"/>
      <c r="H359" s="42"/>
      <c r="I359" s="76"/>
      <c r="J359" s="77"/>
      <c r="K359" s="78"/>
      <c r="L359" s="79"/>
      <c r="M359" s="80"/>
      <c r="N359" s="80"/>
      <c r="O359" s="78"/>
      <c r="P359" s="81"/>
      <c r="Q359" s="96"/>
    </row>
    <row r="360" spans="1:17" customFormat="1" ht="43.2">
      <c r="A360" s="36" t="str">
        <f>IF(TRIM(G360)&lt;&gt;"",COUNTA(G$7:$G360)&amp;"","")</f>
        <v>264</v>
      </c>
      <c r="B360" s="37"/>
      <c r="C360" s="6"/>
      <c r="D360" s="38"/>
      <c r="E360" s="43" t="s">
        <v>336</v>
      </c>
      <c r="F360" s="40">
        <v>1</v>
      </c>
      <c r="G360" s="44" t="s">
        <v>85</v>
      </c>
      <c r="H360" s="42">
        <v>0</v>
      </c>
      <c r="I360" s="76">
        <f t="shared" ref="I360:I363" si="198">IF(F360=0,"",F360+(F360*H360))</f>
        <v>1</v>
      </c>
      <c r="J360" s="77">
        <v>9942.7999999999993</v>
      </c>
      <c r="K360" s="78">
        <f t="shared" ref="K360:K363" si="199">IF(F360=0,"",J360*I360)</f>
        <v>9942.7999999999993</v>
      </c>
      <c r="L360" s="79">
        <v>107.24854000000001</v>
      </c>
      <c r="M360" s="84">
        <v>38.003</v>
      </c>
      <c r="N360" s="80">
        <f t="shared" ref="N360:N363" si="200">L360*M360</f>
        <v>4075.76626562</v>
      </c>
      <c r="O360" s="78">
        <f t="shared" ref="O360:O363" si="201">I360*N360</f>
        <v>4075.76626562</v>
      </c>
      <c r="P360" s="81">
        <f t="shared" ref="P360:P363" si="202">K360+O360</f>
        <v>14018.56626562</v>
      </c>
      <c r="Q360" s="96"/>
    </row>
    <row r="361" spans="1:17" customFormat="1" ht="28.8">
      <c r="A361" s="36" t="str">
        <f>IF(TRIM(G361)&lt;&gt;"",COUNTA(G$7:$G361)&amp;"","")</f>
        <v>265</v>
      </c>
      <c r="B361" s="37"/>
      <c r="C361" s="6"/>
      <c r="D361" s="38"/>
      <c r="E361" s="43" t="s">
        <v>337</v>
      </c>
      <c r="F361" s="40">
        <v>1</v>
      </c>
      <c r="G361" s="44" t="s">
        <v>85</v>
      </c>
      <c r="H361" s="42">
        <v>0</v>
      </c>
      <c r="I361" s="76">
        <f t="shared" si="198"/>
        <v>1</v>
      </c>
      <c r="J361" s="77">
        <v>2485.6999999999998</v>
      </c>
      <c r="K361" s="78">
        <f t="shared" si="199"/>
        <v>2485.6999999999998</v>
      </c>
      <c r="L361" s="79">
        <v>103.42700000000001</v>
      </c>
      <c r="M361" s="84">
        <v>5.21</v>
      </c>
      <c r="N361" s="80">
        <f t="shared" si="200"/>
        <v>538.85467000000006</v>
      </c>
      <c r="O361" s="78">
        <f t="shared" si="201"/>
        <v>538.85467000000006</v>
      </c>
      <c r="P361" s="81">
        <f t="shared" si="202"/>
        <v>3024.55467</v>
      </c>
      <c r="Q361" s="96"/>
    </row>
    <row r="362" spans="1:17" customFormat="1" ht="28.8">
      <c r="A362" s="36" t="str">
        <f>IF(TRIM(G362)&lt;&gt;"",COUNTA(G$7:$G362)&amp;"","")</f>
        <v>266</v>
      </c>
      <c r="B362" s="37"/>
      <c r="C362" s="6"/>
      <c r="D362" s="38"/>
      <c r="E362" s="43" t="s">
        <v>338</v>
      </c>
      <c r="F362" s="40">
        <v>1</v>
      </c>
      <c r="G362" s="44" t="s">
        <v>85</v>
      </c>
      <c r="H362" s="42">
        <v>0</v>
      </c>
      <c r="I362" s="76">
        <f t="shared" si="198"/>
        <v>1</v>
      </c>
      <c r="J362" s="77">
        <v>2485.6999999999998</v>
      </c>
      <c r="K362" s="78">
        <f t="shared" si="199"/>
        <v>2485.6999999999998</v>
      </c>
      <c r="L362" s="79">
        <v>103.42700000000001</v>
      </c>
      <c r="M362" s="84">
        <v>5.21</v>
      </c>
      <c r="N362" s="80">
        <f t="shared" si="200"/>
        <v>538.85467000000006</v>
      </c>
      <c r="O362" s="78">
        <f t="shared" si="201"/>
        <v>538.85467000000006</v>
      </c>
      <c r="P362" s="81">
        <f t="shared" si="202"/>
        <v>3024.55467</v>
      </c>
      <c r="Q362" s="96"/>
    </row>
    <row r="363" spans="1:17" customFormat="1" ht="28.8">
      <c r="A363" s="36" t="str">
        <f>IF(TRIM(G363)&lt;&gt;"",COUNTA(G$7:$G363)&amp;"","")</f>
        <v>267</v>
      </c>
      <c r="B363" s="37"/>
      <c r="C363" s="6"/>
      <c r="D363" s="38"/>
      <c r="E363" s="43" t="s">
        <v>339</v>
      </c>
      <c r="F363" s="40">
        <v>1</v>
      </c>
      <c r="G363" s="44" t="s">
        <v>85</v>
      </c>
      <c r="H363" s="42">
        <v>0</v>
      </c>
      <c r="I363" s="76">
        <f t="shared" si="198"/>
        <v>1</v>
      </c>
      <c r="J363" s="77">
        <v>2485.6999999999998</v>
      </c>
      <c r="K363" s="78">
        <f t="shared" si="199"/>
        <v>2485.6999999999998</v>
      </c>
      <c r="L363" s="79">
        <v>103.42700000000001</v>
      </c>
      <c r="M363" s="84">
        <v>5.21</v>
      </c>
      <c r="N363" s="80">
        <f t="shared" si="200"/>
        <v>538.85467000000006</v>
      </c>
      <c r="O363" s="78">
        <f t="shared" si="201"/>
        <v>538.85467000000006</v>
      </c>
      <c r="P363" s="81">
        <f t="shared" si="202"/>
        <v>3024.55467</v>
      </c>
      <c r="Q363" s="96"/>
    </row>
    <row r="364" spans="1:17" customFormat="1">
      <c r="A364" s="36" t="str">
        <f>IF(TRIM(G364)&lt;&gt;"",COUNTA(G$7:$G364)&amp;"","")</f>
        <v/>
      </c>
      <c r="B364" s="37"/>
      <c r="C364" s="6"/>
      <c r="D364" s="38"/>
      <c r="E364" s="43"/>
      <c r="F364" s="40"/>
      <c r="G364" s="44"/>
      <c r="H364" s="42"/>
      <c r="I364" s="76"/>
      <c r="J364" s="77"/>
      <c r="K364" s="78"/>
      <c r="L364" s="79"/>
      <c r="M364" s="84"/>
      <c r="N364" s="80"/>
      <c r="O364" s="78"/>
      <c r="P364" s="81"/>
      <c r="Q364" s="96"/>
    </row>
    <row r="365" spans="1:17" s="7" customFormat="1" ht="19.2" customHeight="1">
      <c r="A365" s="36" t="str">
        <f>IF(TRIM(G365)&lt;&gt;"",COUNTA(G$7:$G365)&amp;"","")</f>
        <v/>
      </c>
      <c r="B365" s="37"/>
      <c r="C365" s="37"/>
      <c r="D365" s="38"/>
      <c r="E365" s="102" t="s">
        <v>340</v>
      </c>
      <c r="F365" s="40"/>
      <c r="G365" s="41"/>
      <c r="H365" s="42"/>
      <c r="I365" s="76"/>
      <c r="J365" s="77"/>
      <c r="K365" s="78"/>
      <c r="L365" s="79"/>
      <c r="M365" s="80"/>
      <c r="N365" s="80"/>
      <c r="O365" s="78"/>
      <c r="P365" s="81"/>
      <c r="Q365" s="96"/>
    </row>
    <row r="366" spans="1:17" customFormat="1">
      <c r="A366" s="36" t="str">
        <f>IF(TRIM(G366)&lt;&gt;"",COUNTA(G$7:$G366)&amp;"","")</f>
        <v>268</v>
      </c>
      <c r="B366" s="37"/>
      <c r="C366" s="6"/>
      <c r="D366" s="38"/>
      <c r="E366" s="43" t="s">
        <v>341</v>
      </c>
      <c r="F366" s="40">
        <v>1</v>
      </c>
      <c r="G366" s="44" t="s">
        <v>85</v>
      </c>
      <c r="H366" s="42">
        <v>0</v>
      </c>
      <c r="I366" s="76">
        <f t="shared" ref="I366:I368" si="203">IF(F366=0,"",F366+(F366*H366))</f>
        <v>1</v>
      </c>
      <c r="J366" s="77">
        <v>234.5</v>
      </c>
      <c r="K366" s="78">
        <f t="shared" ref="K366:K368" si="204">IF(F366=0,"",J366*I366)</f>
        <v>234.5</v>
      </c>
      <c r="L366" s="79">
        <v>107.4589</v>
      </c>
      <c r="M366" s="84">
        <v>0.4</v>
      </c>
      <c r="N366" s="80">
        <f t="shared" ref="N366:N368" si="205">L366*M366</f>
        <v>42.983559999999997</v>
      </c>
      <c r="O366" s="78">
        <f t="shared" ref="O366:O368" si="206">I366*N366</f>
        <v>42.983559999999997</v>
      </c>
      <c r="P366" s="81">
        <f t="shared" ref="P366:P368" si="207">K366+O366</f>
        <v>277.48356000000001</v>
      </c>
      <c r="Q366" s="96"/>
    </row>
    <row r="367" spans="1:17" customFormat="1">
      <c r="A367" s="36" t="str">
        <f>IF(TRIM(G367)&lt;&gt;"",COUNTA(G$7:$G367)&amp;"","")</f>
        <v>269</v>
      </c>
      <c r="B367" s="37"/>
      <c r="C367" s="6"/>
      <c r="D367" s="38"/>
      <c r="E367" s="43" t="s">
        <v>342</v>
      </c>
      <c r="F367" s="40">
        <v>1</v>
      </c>
      <c r="G367" s="44" t="s">
        <v>85</v>
      </c>
      <c r="H367" s="42">
        <v>0</v>
      </c>
      <c r="I367" s="76">
        <f t="shared" si="203"/>
        <v>1</v>
      </c>
      <c r="J367" s="77">
        <v>276.70999999999998</v>
      </c>
      <c r="K367" s="78">
        <f t="shared" si="204"/>
        <v>276.70999999999998</v>
      </c>
      <c r="L367" s="79">
        <v>107.4589</v>
      </c>
      <c r="M367" s="84">
        <v>2.496</v>
      </c>
      <c r="N367" s="80">
        <f t="shared" si="205"/>
        <v>268.2174144</v>
      </c>
      <c r="O367" s="78">
        <f t="shared" si="206"/>
        <v>268.2174144</v>
      </c>
      <c r="P367" s="81">
        <f t="shared" si="207"/>
        <v>544.92741439999998</v>
      </c>
      <c r="Q367" s="96"/>
    </row>
    <row r="368" spans="1:17" customFormat="1">
      <c r="A368" s="36" t="str">
        <f>IF(TRIM(G368)&lt;&gt;"",COUNTA(G$7:$G368)&amp;"","")</f>
        <v>270</v>
      </c>
      <c r="B368" s="37"/>
      <c r="C368" s="6"/>
      <c r="D368" s="38"/>
      <c r="E368" s="43" t="s">
        <v>343</v>
      </c>
      <c r="F368" s="40">
        <v>2</v>
      </c>
      <c r="G368" s="44" t="s">
        <v>85</v>
      </c>
      <c r="H368" s="42">
        <v>0</v>
      </c>
      <c r="I368" s="76">
        <f t="shared" si="203"/>
        <v>2</v>
      </c>
      <c r="J368" s="77">
        <v>112.56</v>
      </c>
      <c r="K368" s="78">
        <f t="shared" si="204"/>
        <v>225.12</v>
      </c>
      <c r="L368" s="79">
        <v>107.4589</v>
      </c>
      <c r="M368" s="84">
        <v>1.1419999999999999</v>
      </c>
      <c r="N368" s="80">
        <f t="shared" si="205"/>
        <v>122.7180638</v>
      </c>
      <c r="O368" s="78">
        <f t="shared" si="206"/>
        <v>245.43612759999999</v>
      </c>
      <c r="P368" s="81">
        <f t="shared" si="207"/>
        <v>470.55612760000002</v>
      </c>
      <c r="Q368" s="96"/>
    </row>
    <row r="369" spans="1:17" customFormat="1">
      <c r="A369" s="36" t="str">
        <f>IF(TRIM(G369)&lt;&gt;"",COUNTA(G$7:$G369)&amp;"","")</f>
        <v/>
      </c>
      <c r="B369" s="37"/>
      <c r="C369" s="6"/>
      <c r="D369" s="46"/>
      <c r="E369" s="105"/>
      <c r="F369" s="40"/>
      <c r="G369" s="106"/>
      <c r="H369" s="107"/>
      <c r="I369" s="111"/>
      <c r="J369" s="112"/>
      <c r="K369" s="113"/>
      <c r="L369" s="113"/>
      <c r="M369" s="114"/>
      <c r="N369" s="115"/>
      <c r="O369" s="113"/>
      <c r="P369" s="113"/>
      <c r="Q369" s="121"/>
    </row>
    <row r="370" spans="1:17" s="8" customFormat="1" ht="15.6">
      <c r="A370" s="36" t="str">
        <f>IF(TRIM(G370)&lt;&gt;"",COUNTA(G$7:$G370)&amp;"","")</f>
        <v/>
      </c>
      <c r="B370" s="48"/>
      <c r="C370" s="48"/>
      <c r="D370" s="46"/>
      <c r="E370" s="105"/>
      <c r="F370" s="51"/>
      <c r="G370" s="52"/>
      <c r="H370" s="53" t="s">
        <v>93</v>
      </c>
      <c r="I370" s="85"/>
      <c r="J370" s="86">
        <f>SUM(K310:K368)</f>
        <v>27677.594096850698</v>
      </c>
      <c r="K370" s="263" t="s">
        <v>94</v>
      </c>
      <c r="L370" s="264"/>
      <c r="M370" s="87">
        <f>SUM(O310:O368)</f>
        <v>14866.622835432499</v>
      </c>
      <c r="N370" s="263"/>
      <c r="O370" s="264"/>
      <c r="P370" s="88"/>
      <c r="Q370" s="97">
        <f>SUM(P310:P368)</f>
        <v>42544.216932283103</v>
      </c>
    </row>
    <row r="371" spans="1:17" customFormat="1">
      <c r="A371" s="36" t="str">
        <f>IF(TRIM(G371)&lt;&gt;"",COUNTA(G$7:$G371)&amp;"","")</f>
        <v/>
      </c>
      <c r="B371" s="37"/>
      <c r="C371" s="6"/>
      <c r="D371" s="38"/>
      <c r="E371" s="43"/>
      <c r="F371" s="40"/>
      <c r="G371" s="44"/>
      <c r="H371" s="42"/>
      <c r="I371" s="76"/>
      <c r="J371" s="77"/>
      <c r="K371" s="78"/>
      <c r="L371" s="79"/>
      <c r="M371" s="84"/>
      <c r="N371" s="80"/>
      <c r="O371" s="78"/>
      <c r="P371" s="81"/>
      <c r="Q371" s="96"/>
    </row>
    <row r="372" spans="1:17" ht="20.100000000000001" customHeight="1">
      <c r="A372" s="29" t="str">
        <f>IF(TRIM(G372)&lt;&gt;"",COUNTA(G$7:$G372)&amp;"","")</f>
        <v/>
      </c>
      <c r="B372" s="30"/>
      <c r="C372" s="31" t="s">
        <v>1</v>
      </c>
      <c r="D372" s="32" t="s">
        <v>344</v>
      </c>
      <c r="E372" s="33" t="s">
        <v>345</v>
      </c>
      <c r="F372" s="34"/>
      <c r="G372" s="35"/>
      <c r="H372" s="30"/>
      <c r="I372" s="74"/>
      <c r="J372" s="30"/>
      <c r="K372" s="30"/>
      <c r="L372" s="30"/>
      <c r="M372" s="75"/>
      <c r="N372" s="30"/>
      <c r="O372" s="30"/>
      <c r="P372" s="30"/>
      <c r="Q372" s="95"/>
    </row>
    <row r="373" spans="1:17" s="7" customFormat="1" ht="19.2" customHeight="1">
      <c r="A373" s="36" t="str">
        <f>IF(TRIM(G373)&lt;&gt;"",COUNTA(G$7:$G373)&amp;"","")</f>
        <v/>
      </c>
      <c r="B373" s="37"/>
      <c r="C373" s="37"/>
      <c r="D373" s="38"/>
      <c r="E373" s="39" t="s">
        <v>346</v>
      </c>
      <c r="F373" s="40"/>
      <c r="G373" s="41"/>
      <c r="H373" s="42"/>
      <c r="I373" s="76"/>
      <c r="J373" s="77"/>
      <c r="K373" s="78"/>
      <c r="L373" s="79"/>
      <c r="M373" s="80"/>
      <c r="N373" s="80"/>
      <c r="O373" s="78"/>
      <c r="P373" s="81"/>
      <c r="Q373" s="96"/>
    </row>
    <row r="374" spans="1:17" customFormat="1">
      <c r="A374" s="36" t="str">
        <f>IF(TRIM(G374)&lt;&gt;"",COUNTA(G$7:$G374)&amp;"","")</f>
        <v>271</v>
      </c>
      <c r="B374" s="37"/>
      <c r="C374" s="6"/>
      <c r="D374" s="38"/>
      <c r="E374" s="124" t="s">
        <v>347</v>
      </c>
      <c r="F374" s="40">
        <v>1426</v>
      </c>
      <c r="G374" s="44" t="s">
        <v>82</v>
      </c>
      <c r="H374" s="42">
        <v>0.05</v>
      </c>
      <c r="I374" s="76">
        <f t="shared" ref="I374:I376" si="208">IF(F374=0,"",F374+(F374*H374))</f>
        <v>1497.3</v>
      </c>
      <c r="J374" s="77">
        <v>3.9114599999999999</v>
      </c>
      <c r="K374" s="78">
        <f t="shared" ref="K374:K376" si="209">IF(F374=0,"",J374*I374)</f>
        <v>5856.6290580000004</v>
      </c>
      <c r="L374" s="79">
        <v>107.4589</v>
      </c>
      <c r="M374" s="84">
        <v>8.8999999999999996E-2</v>
      </c>
      <c r="N374" s="80">
        <f t="shared" ref="N374:N376" si="210">L374*M374</f>
        <v>9.5638421000000005</v>
      </c>
      <c r="O374" s="78">
        <f t="shared" ref="O374:O376" si="211">I374*N374</f>
        <v>14319.940776330001</v>
      </c>
      <c r="P374" s="81">
        <f t="shared" ref="P374:P376" si="212">K374+O374</f>
        <v>20176.569834329999</v>
      </c>
      <c r="Q374" s="96"/>
    </row>
    <row r="375" spans="1:17" customFormat="1">
      <c r="A375" s="36" t="str">
        <f>IF(TRIM(G375)&lt;&gt;"",COUNTA(G$7:$G375)&amp;"","")</f>
        <v>272</v>
      </c>
      <c r="B375" s="37"/>
      <c r="C375" s="6"/>
      <c r="D375" s="38"/>
      <c r="E375" s="124" t="s">
        <v>348</v>
      </c>
      <c r="F375" s="40">
        <v>145</v>
      </c>
      <c r="G375" s="44" t="s">
        <v>82</v>
      </c>
      <c r="H375" s="42">
        <v>0.05</v>
      </c>
      <c r="I375" s="76">
        <f t="shared" si="208"/>
        <v>152.25</v>
      </c>
      <c r="J375" s="77">
        <v>10.177300000000001</v>
      </c>
      <c r="K375" s="78">
        <f t="shared" si="209"/>
        <v>1549.493925</v>
      </c>
      <c r="L375" s="79">
        <v>107.4589</v>
      </c>
      <c r="M375" s="84">
        <v>0.13300000000000001</v>
      </c>
      <c r="N375" s="80">
        <f t="shared" si="210"/>
        <v>14.292033699999999</v>
      </c>
      <c r="O375" s="78">
        <f t="shared" si="211"/>
        <v>2175.9621308249998</v>
      </c>
      <c r="P375" s="81">
        <f t="shared" si="212"/>
        <v>3725.456055825</v>
      </c>
      <c r="Q375" s="96"/>
    </row>
    <row r="376" spans="1:17" customFormat="1">
      <c r="A376" s="36" t="str">
        <f>IF(TRIM(G376)&lt;&gt;"",COUNTA(G$7:$G376)&amp;"","")</f>
        <v>273</v>
      </c>
      <c r="B376" s="37"/>
      <c r="C376" s="6"/>
      <c r="D376" s="38"/>
      <c r="E376" s="124" t="s">
        <v>349</v>
      </c>
      <c r="F376" s="40">
        <v>165</v>
      </c>
      <c r="G376" s="44" t="s">
        <v>82</v>
      </c>
      <c r="H376" s="42">
        <v>0.05</v>
      </c>
      <c r="I376" s="76">
        <f t="shared" si="208"/>
        <v>173.25</v>
      </c>
      <c r="J376" s="77">
        <v>30.954000000000001</v>
      </c>
      <c r="K376" s="78">
        <f t="shared" si="209"/>
        <v>5362.7804999999998</v>
      </c>
      <c r="L376" s="79">
        <v>107.4589</v>
      </c>
      <c r="M376" s="84">
        <v>0.26700000000000002</v>
      </c>
      <c r="N376" s="80">
        <f t="shared" si="210"/>
        <v>28.6915263</v>
      </c>
      <c r="O376" s="78">
        <f t="shared" si="211"/>
        <v>4970.8069314750001</v>
      </c>
      <c r="P376" s="81">
        <f t="shared" si="212"/>
        <v>10333.587431475</v>
      </c>
      <c r="Q376" s="96"/>
    </row>
    <row r="377" spans="1:17" customFormat="1">
      <c r="A377" s="36" t="str">
        <f>IF(TRIM(G377)&lt;&gt;"",COUNTA(G$7:$G377)&amp;"","")</f>
        <v/>
      </c>
      <c r="B377" s="99"/>
      <c r="C377" s="100"/>
      <c r="D377" s="38"/>
      <c r="E377" s="123"/>
      <c r="F377" s="40"/>
      <c r="G377" s="44"/>
      <c r="H377" s="42"/>
      <c r="I377" s="76"/>
      <c r="J377" s="77"/>
      <c r="K377" s="78"/>
      <c r="L377" s="79"/>
      <c r="M377" s="84"/>
      <c r="N377" s="80"/>
      <c r="O377" s="78"/>
      <c r="P377" s="81"/>
      <c r="Q377" s="96"/>
    </row>
    <row r="378" spans="1:17" s="7" customFormat="1" ht="19.2" customHeight="1">
      <c r="A378" s="36" t="str">
        <f>IF(TRIM(G378)&lt;&gt;"",COUNTA(G$7:$G378)&amp;"","")</f>
        <v/>
      </c>
      <c r="B378" s="37"/>
      <c r="C378" s="37"/>
      <c r="D378" s="38"/>
      <c r="E378" s="101" t="s">
        <v>350</v>
      </c>
      <c r="F378" s="40"/>
      <c r="G378" s="41"/>
      <c r="H378" s="42"/>
      <c r="I378" s="76"/>
      <c r="J378" s="77"/>
      <c r="K378" s="78"/>
      <c r="L378" s="79"/>
      <c r="M378" s="80"/>
      <c r="N378" s="80"/>
      <c r="O378" s="78"/>
      <c r="P378" s="81"/>
      <c r="Q378" s="96"/>
    </row>
    <row r="379" spans="1:17" customFormat="1">
      <c r="A379" s="36" t="str">
        <f>IF(TRIM(G379)&lt;&gt;"",COUNTA(G$7:$G379)&amp;"","")</f>
        <v>274</v>
      </c>
      <c r="B379" s="37"/>
      <c r="C379" s="6"/>
      <c r="D379" s="38"/>
      <c r="E379" s="43" t="s">
        <v>351</v>
      </c>
      <c r="F379" s="40">
        <f>150+34*12</f>
        <v>558</v>
      </c>
      <c r="G379" s="44" t="s">
        <v>82</v>
      </c>
      <c r="H379" s="42">
        <v>0.05</v>
      </c>
      <c r="I379" s="76">
        <f t="shared" ref="I379:I390" si="213">IF(F379=0,"",F379+(F379*H379))</f>
        <v>585.9</v>
      </c>
      <c r="J379" s="77">
        <v>0.67535999999999996</v>
      </c>
      <c r="K379" s="78">
        <f t="shared" ref="K379:K390" si="214">IF(F379=0,"",J379*I379)</f>
        <v>395.69342399999999</v>
      </c>
      <c r="L379" s="79">
        <v>107.4589</v>
      </c>
      <c r="M379" s="84">
        <v>2.1000000000000001E-2</v>
      </c>
      <c r="N379" s="80">
        <f t="shared" ref="N379:N390" si="215">L379*M379</f>
        <v>2.2566369000000002</v>
      </c>
      <c r="O379" s="78">
        <f t="shared" ref="O379:O390" si="216">I379*N379</f>
        <v>1322.1635597100001</v>
      </c>
      <c r="P379" s="81">
        <f t="shared" ref="P379:P390" si="217">K379+O379</f>
        <v>1717.8569837099999</v>
      </c>
      <c r="Q379" s="96"/>
    </row>
    <row r="380" spans="1:17" customFormat="1">
      <c r="A380" s="36" t="str">
        <f>IF(TRIM(G380)&lt;&gt;"",COUNTA(G$7:$G380)&amp;"","")</f>
        <v>275</v>
      </c>
      <c r="B380" s="37"/>
      <c r="C380" s="6"/>
      <c r="D380" s="38"/>
      <c r="E380" s="43" t="s">
        <v>352</v>
      </c>
      <c r="F380" s="40">
        <f>45+33*11</f>
        <v>408</v>
      </c>
      <c r="G380" s="44" t="s">
        <v>82</v>
      </c>
      <c r="H380" s="42">
        <v>0.05</v>
      </c>
      <c r="I380" s="76">
        <f t="shared" si="213"/>
        <v>428.4</v>
      </c>
      <c r="J380" s="77">
        <v>0.67535999999999996</v>
      </c>
      <c r="K380" s="78">
        <f t="shared" si="214"/>
        <v>289.32422400000002</v>
      </c>
      <c r="L380" s="79">
        <v>107.4589</v>
      </c>
      <c r="M380" s="84">
        <v>2.1000000000000001E-2</v>
      </c>
      <c r="N380" s="80">
        <f t="shared" si="215"/>
        <v>2.2566369000000002</v>
      </c>
      <c r="O380" s="78">
        <f t="shared" si="216"/>
        <v>966.74324795999996</v>
      </c>
      <c r="P380" s="81">
        <f t="shared" si="217"/>
        <v>1256.0674719599999</v>
      </c>
      <c r="Q380" s="96"/>
    </row>
    <row r="381" spans="1:17" customFormat="1">
      <c r="A381" s="36" t="str">
        <f>IF(TRIM(G381)&lt;&gt;"",COUNTA(G$7:$G381)&amp;"","")</f>
        <v>276</v>
      </c>
      <c r="B381" s="37"/>
      <c r="C381" s="6"/>
      <c r="D381" s="38"/>
      <c r="E381" s="43" t="s">
        <v>353</v>
      </c>
      <c r="F381" s="40">
        <v>130</v>
      </c>
      <c r="G381" s="44" t="s">
        <v>82</v>
      </c>
      <c r="H381" s="42">
        <v>0.05</v>
      </c>
      <c r="I381" s="76">
        <f t="shared" si="213"/>
        <v>136.5</v>
      </c>
      <c r="J381" s="77">
        <v>1.93228</v>
      </c>
      <c r="K381" s="78">
        <f t="shared" si="214"/>
        <v>263.75621999999998</v>
      </c>
      <c r="L381" s="79">
        <v>107.4589</v>
      </c>
      <c r="M381" s="84">
        <v>3.2599999999999997E-2</v>
      </c>
      <c r="N381" s="80">
        <f t="shared" si="215"/>
        <v>3.5031601399999999</v>
      </c>
      <c r="O381" s="78">
        <f t="shared" si="216"/>
        <v>478.18135911000002</v>
      </c>
      <c r="P381" s="81">
        <f t="shared" si="217"/>
        <v>741.93757911</v>
      </c>
      <c r="Q381" s="96"/>
    </row>
    <row r="382" spans="1:17" customFormat="1">
      <c r="A382" s="36" t="str">
        <f>IF(TRIM(G382)&lt;&gt;"",COUNTA(G$7:$G382)&amp;"","")</f>
        <v>277</v>
      </c>
      <c r="B382" s="37"/>
      <c r="C382" s="6"/>
      <c r="D382" s="38"/>
      <c r="E382" s="43" t="s">
        <v>354</v>
      </c>
      <c r="F382" s="40">
        <v>50</v>
      </c>
      <c r="G382" s="44" t="s">
        <v>82</v>
      </c>
      <c r="H382" s="42">
        <v>0.05</v>
      </c>
      <c r="I382" s="76">
        <f t="shared" si="213"/>
        <v>52.5</v>
      </c>
      <c r="J382" s="77">
        <v>0.67535999999999996</v>
      </c>
      <c r="K382" s="78">
        <f t="shared" si="214"/>
        <v>35.456400000000002</v>
      </c>
      <c r="L382" s="79">
        <v>107.4589</v>
      </c>
      <c r="M382" s="84">
        <v>2.1000000000000001E-2</v>
      </c>
      <c r="N382" s="80">
        <f t="shared" si="215"/>
        <v>2.2566369000000002</v>
      </c>
      <c r="O382" s="78">
        <f t="shared" si="216"/>
        <v>118.47343725</v>
      </c>
      <c r="P382" s="81">
        <f t="shared" si="217"/>
        <v>153.92983724999999</v>
      </c>
      <c r="Q382" s="96"/>
    </row>
    <row r="383" spans="1:17" customFormat="1">
      <c r="A383" s="36" t="str">
        <f>IF(TRIM(G383)&lt;&gt;"",COUNTA(G$7:$G383)&amp;"","")</f>
        <v>278</v>
      </c>
      <c r="B383" s="37"/>
      <c r="C383" s="6"/>
      <c r="D383" s="38"/>
      <c r="E383" s="43" t="s">
        <v>355</v>
      </c>
      <c r="F383" s="40">
        <v>165</v>
      </c>
      <c r="G383" s="44" t="s">
        <v>82</v>
      </c>
      <c r="H383" s="42">
        <v>0.05</v>
      </c>
      <c r="I383" s="76">
        <f t="shared" si="213"/>
        <v>173.25</v>
      </c>
      <c r="J383" s="77">
        <v>0.67535999999999996</v>
      </c>
      <c r="K383" s="78">
        <f t="shared" si="214"/>
        <v>117.00612</v>
      </c>
      <c r="L383" s="79">
        <v>107.4589</v>
      </c>
      <c r="M383" s="84">
        <v>2.1000000000000001E-2</v>
      </c>
      <c r="N383" s="80">
        <f t="shared" si="215"/>
        <v>2.2566369000000002</v>
      </c>
      <c r="O383" s="78">
        <f t="shared" si="216"/>
        <v>390.96234292499997</v>
      </c>
      <c r="P383" s="81">
        <f t="shared" si="217"/>
        <v>507.96846292499998</v>
      </c>
      <c r="Q383" s="96"/>
    </row>
    <row r="384" spans="1:17" customFormat="1">
      <c r="A384" s="36" t="str">
        <f>IF(TRIM(G384)&lt;&gt;"",COUNTA(G$7:$G384)&amp;"","")</f>
        <v>279</v>
      </c>
      <c r="B384" s="37"/>
      <c r="C384" s="6"/>
      <c r="D384" s="38"/>
      <c r="E384" s="43" t="s">
        <v>356</v>
      </c>
      <c r="F384" s="40">
        <v>35</v>
      </c>
      <c r="G384" s="44" t="s">
        <v>82</v>
      </c>
      <c r="H384" s="42">
        <v>0.05</v>
      </c>
      <c r="I384" s="76">
        <f t="shared" si="213"/>
        <v>36.75</v>
      </c>
      <c r="J384" s="77">
        <v>0.67535999999999996</v>
      </c>
      <c r="K384" s="78">
        <f t="shared" si="214"/>
        <v>24.819479999999999</v>
      </c>
      <c r="L384" s="79">
        <v>107.4589</v>
      </c>
      <c r="M384" s="84">
        <v>2.1000000000000001E-2</v>
      </c>
      <c r="N384" s="80">
        <f t="shared" si="215"/>
        <v>2.2566369000000002</v>
      </c>
      <c r="O384" s="78">
        <f t="shared" si="216"/>
        <v>82.931406074999998</v>
      </c>
      <c r="P384" s="81">
        <f t="shared" si="217"/>
        <v>107.750886075</v>
      </c>
      <c r="Q384" s="96"/>
    </row>
    <row r="385" spans="1:17" customFormat="1">
      <c r="A385" s="36" t="str">
        <f>IF(TRIM(G385)&lt;&gt;"",COUNTA(G$7:$G385)&amp;"","")</f>
        <v>280</v>
      </c>
      <c r="B385" s="37"/>
      <c r="C385" s="6"/>
      <c r="D385" s="38"/>
      <c r="E385" s="43" t="s">
        <v>357</v>
      </c>
      <c r="F385" s="40">
        <v>35</v>
      </c>
      <c r="G385" s="44" t="s">
        <v>82</v>
      </c>
      <c r="H385" s="42">
        <v>0.05</v>
      </c>
      <c r="I385" s="76">
        <f t="shared" si="213"/>
        <v>36.75</v>
      </c>
      <c r="J385" s="77">
        <v>2.7202000000000002</v>
      </c>
      <c r="K385" s="78">
        <f t="shared" si="214"/>
        <v>99.967349999999996</v>
      </c>
      <c r="L385" s="79">
        <v>107.4589</v>
      </c>
      <c r="M385" s="84">
        <v>4.4900000000000002E-2</v>
      </c>
      <c r="N385" s="80">
        <f t="shared" si="215"/>
        <v>4.8249046099999999</v>
      </c>
      <c r="O385" s="78">
        <f t="shared" si="216"/>
        <v>177.3152444175</v>
      </c>
      <c r="P385" s="81">
        <f t="shared" si="217"/>
        <v>277.28259441749998</v>
      </c>
      <c r="Q385" s="96"/>
    </row>
    <row r="386" spans="1:17" customFormat="1">
      <c r="A386" s="36" t="str">
        <f>IF(TRIM(G386)&lt;&gt;"",COUNTA(G$7:$G386)&amp;"","")</f>
        <v>281</v>
      </c>
      <c r="B386" s="37"/>
      <c r="C386" s="6"/>
      <c r="D386" s="38"/>
      <c r="E386" s="43" t="s">
        <v>358</v>
      </c>
      <c r="F386" s="40">
        <v>45</v>
      </c>
      <c r="G386" s="44" t="s">
        <v>82</v>
      </c>
      <c r="H386" s="42">
        <v>0.05</v>
      </c>
      <c r="I386" s="76">
        <f t="shared" si="213"/>
        <v>47.25</v>
      </c>
      <c r="J386" s="77">
        <v>1.9604200000000001</v>
      </c>
      <c r="K386" s="78">
        <f t="shared" si="214"/>
        <v>92.629845000000003</v>
      </c>
      <c r="L386" s="79">
        <v>107.4589</v>
      </c>
      <c r="M386" s="84">
        <v>4.4900000000000002E-2</v>
      </c>
      <c r="N386" s="80">
        <f t="shared" si="215"/>
        <v>4.8249046099999999</v>
      </c>
      <c r="O386" s="78">
        <f t="shared" si="216"/>
        <v>227.9767428225</v>
      </c>
      <c r="P386" s="81">
        <f t="shared" si="217"/>
        <v>320.60658782249999</v>
      </c>
      <c r="Q386" s="96"/>
    </row>
    <row r="387" spans="1:17" customFormat="1">
      <c r="A387" s="36" t="str">
        <f>IF(TRIM(G387)&lt;&gt;"",COUNTA(G$7:$G387)&amp;"","")</f>
        <v>282</v>
      </c>
      <c r="B387" s="37"/>
      <c r="C387" s="6"/>
      <c r="D387" s="38"/>
      <c r="E387" s="43" t="s">
        <v>359</v>
      </c>
      <c r="F387" s="40">
        <v>90</v>
      </c>
      <c r="G387" s="44" t="s">
        <v>82</v>
      </c>
      <c r="H387" s="42">
        <v>0.05</v>
      </c>
      <c r="I387" s="76">
        <f t="shared" si="213"/>
        <v>94.5</v>
      </c>
      <c r="J387" s="77">
        <v>7.5978000000000003</v>
      </c>
      <c r="K387" s="78">
        <f t="shared" si="214"/>
        <v>717.99210000000005</v>
      </c>
      <c r="L387" s="79">
        <v>107.4589</v>
      </c>
      <c r="M387" s="84">
        <v>2.8000000000000001E-2</v>
      </c>
      <c r="N387" s="80">
        <f t="shared" si="215"/>
        <v>3.0088491999999998</v>
      </c>
      <c r="O387" s="78">
        <f t="shared" si="216"/>
        <v>284.33624939999999</v>
      </c>
      <c r="P387" s="81">
        <f t="shared" si="217"/>
        <v>1002.3283494</v>
      </c>
      <c r="Q387" s="96"/>
    </row>
    <row r="388" spans="1:17" customFormat="1">
      <c r="A388" s="36" t="str">
        <f>IF(TRIM(G388)&lt;&gt;"",COUNTA(G$7:$G388)&amp;"","")</f>
        <v>283</v>
      </c>
      <c r="B388" s="37"/>
      <c r="C388" s="6"/>
      <c r="D388" s="38"/>
      <c r="E388" s="43" t="s">
        <v>360</v>
      </c>
      <c r="F388" s="40">
        <v>100</v>
      </c>
      <c r="G388" s="44" t="s">
        <v>82</v>
      </c>
      <c r="H388" s="42">
        <v>0.05</v>
      </c>
      <c r="I388" s="76">
        <f t="shared" si="213"/>
        <v>105</v>
      </c>
      <c r="J388" s="77">
        <v>29.847159999999999</v>
      </c>
      <c r="K388" s="78">
        <f t="shared" si="214"/>
        <v>3133.9517999999998</v>
      </c>
      <c r="L388" s="79">
        <v>107.4589</v>
      </c>
      <c r="M388" s="84">
        <v>0.1532</v>
      </c>
      <c r="N388" s="80">
        <f t="shared" si="215"/>
        <v>16.462703479999998</v>
      </c>
      <c r="O388" s="78">
        <f t="shared" si="216"/>
        <v>1728.5838653999999</v>
      </c>
      <c r="P388" s="81">
        <f t="shared" si="217"/>
        <v>4862.5356653999997</v>
      </c>
      <c r="Q388" s="96"/>
    </row>
    <row r="389" spans="1:17" customFormat="1">
      <c r="A389" s="36" t="str">
        <f>IF(TRIM(G389)&lt;&gt;"",COUNTA(G$7:$G389)&amp;"","")</f>
        <v>284</v>
      </c>
      <c r="B389" s="37"/>
      <c r="C389" s="6"/>
      <c r="D389" s="38"/>
      <c r="E389" s="43" t="s">
        <v>361</v>
      </c>
      <c r="F389" s="40">
        <v>100</v>
      </c>
      <c r="G389" s="44" t="s">
        <v>82</v>
      </c>
      <c r="H389" s="42">
        <v>0.05</v>
      </c>
      <c r="I389" s="76">
        <f t="shared" si="213"/>
        <v>105</v>
      </c>
      <c r="J389" s="77">
        <v>27.577200000000001</v>
      </c>
      <c r="K389" s="78">
        <f t="shared" si="214"/>
        <v>2895.6060000000002</v>
      </c>
      <c r="L389" s="79">
        <v>107.4589</v>
      </c>
      <c r="M389" s="84">
        <v>0.13320000000000001</v>
      </c>
      <c r="N389" s="80">
        <f t="shared" si="215"/>
        <v>14.313525479999999</v>
      </c>
      <c r="O389" s="78">
        <f t="shared" si="216"/>
        <v>1502.9201754000001</v>
      </c>
      <c r="P389" s="81">
        <f t="shared" si="217"/>
        <v>4398.5261754000003</v>
      </c>
      <c r="Q389" s="96"/>
    </row>
    <row r="390" spans="1:17" customFormat="1">
      <c r="A390" s="36" t="str">
        <f>IF(TRIM(G390)&lt;&gt;"",COUNTA(G$7:$G390)&amp;"","")</f>
        <v>285</v>
      </c>
      <c r="B390" s="37"/>
      <c r="C390" s="6"/>
      <c r="D390" s="38"/>
      <c r="E390" s="43" t="s">
        <v>362</v>
      </c>
      <c r="F390" s="40">
        <v>20</v>
      </c>
      <c r="G390" s="44" t="s">
        <v>82</v>
      </c>
      <c r="H390" s="42">
        <v>0.05</v>
      </c>
      <c r="I390" s="76">
        <f t="shared" si="213"/>
        <v>21</v>
      </c>
      <c r="J390" s="77">
        <v>1.7259199999999999</v>
      </c>
      <c r="K390" s="78">
        <f t="shared" si="214"/>
        <v>36.244320000000002</v>
      </c>
      <c r="L390" s="79">
        <v>107.4589</v>
      </c>
      <c r="M390" s="84">
        <v>1.78E-2</v>
      </c>
      <c r="N390" s="80">
        <f t="shared" si="215"/>
        <v>1.9127684199999999</v>
      </c>
      <c r="O390" s="78">
        <f t="shared" si="216"/>
        <v>40.168136820000001</v>
      </c>
      <c r="P390" s="81">
        <f t="shared" si="217"/>
        <v>76.412456820000003</v>
      </c>
      <c r="Q390" s="96"/>
    </row>
    <row r="391" spans="1:17" customFormat="1">
      <c r="A391" s="36" t="str">
        <f>IF(TRIM(G391)&lt;&gt;"",COUNTA(G$7:$G391)&amp;"","")</f>
        <v/>
      </c>
      <c r="B391" s="37"/>
      <c r="C391" s="6"/>
      <c r="D391" s="38"/>
      <c r="E391" s="43"/>
      <c r="F391" s="40"/>
      <c r="G391" s="44"/>
      <c r="H391" s="42"/>
      <c r="I391" s="76"/>
      <c r="J391" s="77"/>
      <c r="K391" s="78"/>
      <c r="L391" s="79"/>
      <c r="M391" s="84"/>
      <c r="N391" s="80"/>
      <c r="O391" s="78"/>
      <c r="P391" s="81"/>
      <c r="Q391" s="96"/>
    </row>
    <row r="392" spans="1:17" s="7" customFormat="1" ht="19.2" customHeight="1">
      <c r="A392" s="36" t="str">
        <f>IF(TRIM(G392)&lt;&gt;"",COUNTA(G$7:$G392)&amp;"","")</f>
        <v/>
      </c>
      <c r="B392" s="37"/>
      <c r="C392" s="37"/>
      <c r="D392" s="38"/>
      <c r="E392" s="102" t="s">
        <v>363</v>
      </c>
      <c r="F392" s="40"/>
      <c r="G392" s="41"/>
      <c r="H392" s="42"/>
      <c r="I392" s="76"/>
      <c r="J392" s="77"/>
      <c r="K392" s="78"/>
      <c r="L392" s="79"/>
      <c r="M392" s="80"/>
      <c r="N392" s="80"/>
      <c r="O392" s="78"/>
      <c r="P392" s="81"/>
      <c r="Q392" s="96"/>
    </row>
    <row r="393" spans="1:17" customFormat="1">
      <c r="A393" s="36" t="str">
        <f>IF(TRIM(G393)&lt;&gt;"",COUNTA(G$7:$G393)&amp;"","")</f>
        <v>286</v>
      </c>
      <c r="B393" s="37"/>
      <c r="C393" s="6"/>
      <c r="D393" s="38"/>
      <c r="E393" s="43" t="s">
        <v>364</v>
      </c>
      <c r="F393" s="40">
        <v>4</v>
      </c>
      <c r="G393" s="44" t="s">
        <v>85</v>
      </c>
      <c r="H393" s="42">
        <v>0</v>
      </c>
      <c r="I393" s="76">
        <f t="shared" ref="I393:I401" si="218">IF(F393=0,"",F393+(F393*H393))</f>
        <v>4</v>
      </c>
      <c r="J393" s="77">
        <v>168.84</v>
      </c>
      <c r="K393" s="78">
        <f t="shared" ref="K393:K401" si="219">IF(F393=0,"",J393*I393)</f>
        <v>675.36</v>
      </c>
      <c r="L393" s="79">
        <v>107.4589</v>
      </c>
      <c r="M393" s="84">
        <v>1.421</v>
      </c>
      <c r="N393" s="80">
        <f t="shared" ref="N393:N401" si="220">L393*M393</f>
        <v>152.6990969</v>
      </c>
      <c r="O393" s="78">
        <f t="shared" ref="O393:O401" si="221">I393*N393</f>
        <v>610.7963876</v>
      </c>
      <c r="P393" s="81">
        <f t="shared" ref="P393:P401" si="222">K393+O393</f>
        <v>1286.1563876</v>
      </c>
      <c r="Q393" s="96"/>
    </row>
    <row r="394" spans="1:17" customFormat="1">
      <c r="A394" s="36" t="str">
        <f>IF(TRIM(G394)&lt;&gt;"",COUNTA(G$7:$G394)&amp;"","")</f>
        <v>287</v>
      </c>
      <c r="B394" s="37"/>
      <c r="C394" s="6"/>
      <c r="D394" s="38"/>
      <c r="E394" s="43" t="s">
        <v>365</v>
      </c>
      <c r="F394" s="40">
        <v>1</v>
      </c>
      <c r="G394" s="44" t="s">
        <v>85</v>
      </c>
      <c r="H394" s="42">
        <v>0</v>
      </c>
      <c r="I394" s="76">
        <f t="shared" si="218"/>
        <v>1</v>
      </c>
      <c r="J394" s="77">
        <v>168.84</v>
      </c>
      <c r="K394" s="78">
        <f t="shared" si="219"/>
        <v>168.84</v>
      </c>
      <c r="L394" s="79">
        <v>107.4589</v>
      </c>
      <c r="M394" s="84">
        <v>1.421</v>
      </c>
      <c r="N394" s="80">
        <f t="shared" si="220"/>
        <v>152.6990969</v>
      </c>
      <c r="O394" s="78">
        <f t="shared" si="221"/>
        <v>152.6990969</v>
      </c>
      <c r="P394" s="81">
        <f t="shared" si="222"/>
        <v>321.5390969</v>
      </c>
      <c r="Q394" s="96"/>
    </row>
    <row r="395" spans="1:17" customFormat="1">
      <c r="A395" s="36" t="str">
        <f>IF(TRIM(G395)&lt;&gt;"",COUNTA(G$7:$G395)&amp;"","")</f>
        <v>288</v>
      </c>
      <c r="B395" s="37"/>
      <c r="C395" s="6"/>
      <c r="D395" s="38"/>
      <c r="E395" s="43" t="s">
        <v>366</v>
      </c>
      <c r="F395" s="40">
        <v>4</v>
      </c>
      <c r="G395" s="44" t="s">
        <v>85</v>
      </c>
      <c r="H395" s="42">
        <v>0</v>
      </c>
      <c r="I395" s="76">
        <f t="shared" si="218"/>
        <v>4</v>
      </c>
      <c r="J395" s="77">
        <v>117.25</v>
      </c>
      <c r="K395" s="78">
        <f t="shared" si="219"/>
        <v>469</v>
      </c>
      <c r="L395" s="79">
        <v>107.4589</v>
      </c>
      <c r="M395" s="84">
        <v>1.22</v>
      </c>
      <c r="N395" s="80">
        <f t="shared" si="220"/>
        <v>131.09985800000001</v>
      </c>
      <c r="O395" s="78">
        <f t="shared" si="221"/>
        <v>524.39943200000005</v>
      </c>
      <c r="P395" s="81">
        <f t="shared" si="222"/>
        <v>993.39943200000005</v>
      </c>
      <c r="Q395" s="96"/>
    </row>
    <row r="396" spans="1:17" customFormat="1">
      <c r="A396" s="36" t="str">
        <f>IF(TRIM(G396)&lt;&gt;"",COUNTA(G$7:$G396)&amp;"","")</f>
        <v>289</v>
      </c>
      <c r="B396" s="37"/>
      <c r="C396" s="6"/>
      <c r="D396" s="38"/>
      <c r="E396" s="43" t="s">
        <v>367</v>
      </c>
      <c r="F396" s="40">
        <v>4</v>
      </c>
      <c r="G396" s="44" t="s">
        <v>85</v>
      </c>
      <c r="H396" s="42">
        <v>0</v>
      </c>
      <c r="I396" s="76">
        <f t="shared" si="218"/>
        <v>4</v>
      </c>
      <c r="J396" s="77">
        <v>82.543999999999997</v>
      </c>
      <c r="K396" s="78">
        <f t="shared" si="219"/>
        <v>330.17599999999999</v>
      </c>
      <c r="L396" s="79">
        <v>107.4589</v>
      </c>
      <c r="M396" s="84">
        <v>1</v>
      </c>
      <c r="N396" s="80">
        <f t="shared" si="220"/>
        <v>107.4589</v>
      </c>
      <c r="O396" s="78">
        <f t="shared" si="221"/>
        <v>429.8356</v>
      </c>
      <c r="P396" s="81">
        <f t="shared" si="222"/>
        <v>760.01160000000004</v>
      </c>
      <c r="Q396" s="96"/>
    </row>
    <row r="397" spans="1:17" customFormat="1">
      <c r="A397" s="36" t="str">
        <f>IF(TRIM(G397)&lt;&gt;"",COUNTA(G$7:$G397)&amp;"","")</f>
        <v>290</v>
      </c>
      <c r="B397" s="37"/>
      <c r="C397" s="6"/>
      <c r="D397" s="38"/>
      <c r="E397" s="43" t="s">
        <v>368</v>
      </c>
      <c r="F397" s="40">
        <v>9</v>
      </c>
      <c r="G397" s="44" t="s">
        <v>85</v>
      </c>
      <c r="H397" s="42">
        <v>0</v>
      </c>
      <c r="I397" s="76">
        <f t="shared" si="218"/>
        <v>9</v>
      </c>
      <c r="J397" s="77">
        <v>131.32</v>
      </c>
      <c r="K397" s="78">
        <f t="shared" si="219"/>
        <v>1181.8800000000001</v>
      </c>
      <c r="L397" s="79">
        <v>107.4589</v>
      </c>
      <c r="M397" s="84">
        <v>1</v>
      </c>
      <c r="N397" s="80">
        <f t="shared" si="220"/>
        <v>107.4589</v>
      </c>
      <c r="O397" s="78">
        <f t="shared" si="221"/>
        <v>967.13009999999997</v>
      </c>
      <c r="P397" s="81">
        <f t="shared" si="222"/>
        <v>2149.0101</v>
      </c>
      <c r="Q397" s="96"/>
    </row>
    <row r="398" spans="1:17" customFormat="1">
      <c r="A398" s="36" t="str">
        <f>IF(TRIM(G398)&lt;&gt;"",COUNTA(G$7:$G398)&amp;"","")</f>
        <v>291</v>
      </c>
      <c r="B398" s="37"/>
      <c r="C398" s="6"/>
      <c r="D398" s="38"/>
      <c r="E398" s="43" t="s">
        <v>369</v>
      </c>
      <c r="F398" s="40">
        <v>4</v>
      </c>
      <c r="G398" s="44" t="s">
        <v>85</v>
      </c>
      <c r="H398" s="42">
        <v>0</v>
      </c>
      <c r="I398" s="76">
        <f t="shared" si="218"/>
        <v>4</v>
      </c>
      <c r="J398" s="77">
        <v>154.77000000000001</v>
      </c>
      <c r="K398" s="78">
        <f t="shared" si="219"/>
        <v>619.08000000000004</v>
      </c>
      <c r="L398" s="79">
        <v>107.4589</v>
      </c>
      <c r="M398" s="84">
        <v>1</v>
      </c>
      <c r="N398" s="80">
        <f t="shared" si="220"/>
        <v>107.4589</v>
      </c>
      <c r="O398" s="78">
        <f t="shared" si="221"/>
        <v>429.8356</v>
      </c>
      <c r="P398" s="81">
        <f t="shared" si="222"/>
        <v>1048.9156</v>
      </c>
      <c r="Q398" s="96"/>
    </row>
    <row r="399" spans="1:17" customFormat="1">
      <c r="A399" s="36" t="str">
        <f>IF(TRIM(G399)&lt;&gt;"",COUNTA(G$7:$G399)&amp;"","")</f>
        <v>292</v>
      </c>
      <c r="B399" s="37"/>
      <c r="C399" s="6"/>
      <c r="D399" s="38"/>
      <c r="E399" s="43" t="s">
        <v>370</v>
      </c>
      <c r="F399" s="40">
        <v>2</v>
      </c>
      <c r="G399" s="44" t="s">
        <v>85</v>
      </c>
      <c r="H399" s="42">
        <v>0</v>
      </c>
      <c r="I399" s="76">
        <f t="shared" si="218"/>
        <v>2</v>
      </c>
      <c r="J399" s="77">
        <v>267.33</v>
      </c>
      <c r="K399" s="78">
        <f t="shared" si="219"/>
        <v>534.66</v>
      </c>
      <c r="L399" s="79">
        <v>107.4589</v>
      </c>
      <c r="M399" s="84">
        <v>1</v>
      </c>
      <c r="N399" s="80">
        <f t="shared" si="220"/>
        <v>107.4589</v>
      </c>
      <c r="O399" s="78">
        <f t="shared" si="221"/>
        <v>214.9178</v>
      </c>
      <c r="P399" s="81">
        <f t="shared" si="222"/>
        <v>749.57780000000002</v>
      </c>
      <c r="Q399" s="96"/>
    </row>
    <row r="400" spans="1:17" customFormat="1">
      <c r="A400" s="36" t="str">
        <f>IF(TRIM(G400)&lt;&gt;"",COUNTA(G$7:$G400)&amp;"","")</f>
        <v>293</v>
      </c>
      <c r="B400" s="37"/>
      <c r="C400" s="6"/>
      <c r="D400" s="38"/>
      <c r="E400" s="43" t="s">
        <v>371</v>
      </c>
      <c r="F400" s="40">
        <v>2</v>
      </c>
      <c r="G400" s="44" t="s">
        <v>85</v>
      </c>
      <c r="H400" s="42">
        <v>0</v>
      </c>
      <c r="I400" s="76">
        <f t="shared" si="218"/>
        <v>2</v>
      </c>
      <c r="J400" s="77">
        <v>79.73</v>
      </c>
      <c r="K400" s="78">
        <f t="shared" si="219"/>
        <v>159.46</v>
      </c>
      <c r="L400" s="79">
        <v>107.4589</v>
      </c>
      <c r="M400" s="84">
        <v>1</v>
      </c>
      <c r="N400" s="80">
        <f t="shared" si="220"/>
        <v>107.4589</v>
      </c>
      <c r="O400" s="78">
        <f t="shared" si="221"/>
        <v>214.9178</v>
      </c>
      <c r="P400" s="81">
        <f t="shared" si="222"/>
        <v>374.37779999999998</v>
      </c>
      <c r="Q400" s="96"/>
    </row>
    <row r="401" spans="1:17" customFormat="1" ht="28.8">
      <c r="A401" s="36" t="str">
        <f>IF(TRIM(G401)&lt;&gt;"",COUNTA(G$7:$G401)&amp;"","")</f>
        <v>294</v>
      </c>
      <c r="B401" s="37"/>
      <c r="C401" s="6"/>
      <c r="D401" s="38"/>
      <c r="E401" s="43" t="s">
        <v>372</v>
      </c>
      <c r="F401" s="40">
        <v>4</v>
      </c>
      <c r="G401" s="44" t="s">
        <v>85</v>
      </c>
      <c r="H401" s="42">
        <v>0</v>
      </c>
      <c r="I401" s="76">
        <f t="shared" si="218"/>
        <v>4</v>
      </c>
      <c r="J401" s="77">
        <v>82.543999999999997</v>
      </c>
      <c r="K401" s="78">
        <f t="shared" si="219"/>
        <v>330.17599999999999</v>
      </c>
      <c r="L401" s="79">
        <v>107.4589</v>
      </c>
      <c r="M401" s="84">
        <v>1</v>
      </c>
      <c r="N401" s="80">
        <f t="shared" si="220"/>
        <v>107.4589</v>
      </c>
      <c r="O401" s="78">
        <f t="shared" si="221"/>
        <v>429.8356</v>
      </c>
      <c r="P401" s="81">
        <f t="shared" si="222"/>
        <v>760.01160000000004</v>
      </c>
      <c r="Q401" s="96"/>
    </row>
    <row r="402" spans="1:17" customFormat="1">
      <c r="A402" s="36" t="str">
        <f>IF(TRIM(G402)&lt;&gt;"",COUNTA(G$7:$G402)&amp;"","")</f>
        <v/>
      </c>
      <c r="B402" s="37"/>
      <c r="C402" s="6"/>
      <c r="D402" s="38"/>
      <c r="E402" s="43"/>
      <c r="F402" s="40"/>
      <c r="G402" s="44"/>
      <c r="H402" s="42"/>
      <c r="I402" s="76"/>
      <c r="J402" s="77"/>
      <c r="K402" s="78"/>
      <c r="L402" s="79"/>
      <c r="M402" s="84"/>
      <c r="N402" s="80"/>
      <c r="O402" s="78"/>
      <c r="P402" s="81"/>
      <c r="Q402" s="96"/>
    </row>
    <row r="403" spans="1:17" customFormat="1">
      <c r="A403" s="36" t="str">
        <f>IF(TRIM(G403)&lt;&gt;"",COUNTA(G$7:$G403)&amp;"","")</f>
        <v/>
      </c>
      <c r="B403" s="37"/>
      <c r="C403" s="6"/>
      <c r="D403" s="38"/>
      <c r="E403" s="102" t="s">
        <v>373</v>
      </c>
      <c r="F403" s="40"/>
      <c r="G403" s="44"/>
      <c r="H403" s="42"/>
      <c r="I403" s="76"/>
      <c r="J403" s="77"/>
      <c r="K403" s="78"/>
      <c r="L403" s="79"/>
      <c r="M403" s="84"/>
      <c r="N403" s="80"/>
      <c r="O403" s="78"/>
      <c r="P403" s="81"/>
      <c r="Q403" s="96"/>
    </row>
    <row r="404" spans="1:17" customFormat="1">
      <c r="A404" s="36" t="str">
        <f>IF(TRIM(G404)&lt;&gt;"",COUNTA(G$7:$G404)&amp;"","")</f>
        <v/>
      </c>
      <c r="B404" s="37"/>
      <c r="C404" s="6"/>
      <c r="D404" s="38"/>
      <c r="E404" s="109" t="s">
        <v>374</v>
      </c>
      <c r="F404" s="40">
        <v>1</v>
      </c>
      <c r="G404" s="44"/>
      <c r="H404" s="42"/>
      <c r="I404" s="76"/>
      <c r="J404" s="77"/>
      <c r="K404" s="78"/>
      <c r="L404" s="79"/>
      <c r="M404" s="84"/>
      <c r="N404" s="80"/>
      <c r="O404" s="78"/>
      <c r="P404" s="81"/>
      <c r="Q404" s="96"/>
    </row>
    <row r="405" spans="1:17" customFormat="1">
      <c r="A405" s="36" t="str">
        <f>IF(TRIM(G405)&lt;&gt;"",COUNTA(G$7:$G405)&amp;"","")</f>
        <v>295</v>
      </c>
      <c r="B405" s="37"/>
      <c r="C405" s="6"/>
      <c r="D405" s="38"/>
      <c r="E405" s="104" t="s">
        <v>375</v>
      </c>
      <c r="F405" s="40">
        <v>6</v>
      </c>
      <c r="G405" s="44" t="s">
        <v>85</v>
      </c>
      <c r="H405" s="42">
        <v>0</v>
      </c>
      <c r="I405" s="76">
        <f t="shared" ref="I405:I416" si="223">IF(F405=0,"",F405+(F405*H405))</f>
        <v>6</v>
      </c>
      <c r="J405" s="77">
        <v>22.202459999999999</v>
      </c>
      <c r="K405" s="78">
        <f t="shared" ref="K405:K416" si="224">IF(F405=0,"",J405*I405)</f>
        <v>133.21476000000001</v>
      </c>
      <c r="L405" s="79">
        <v>107.4589</v>
      </c>
      <c r="M405" s="84">
        <v>0.8</v>
      </c>
      <c r="N405" s="80">
        <f t="shared" ref="N405:N416" si="225">L405*M405</f>
        <v>85.967119999999994</v>
      </c>
      <c r="O405" s="78">
        <f t="shared" ref="O405:O416" si="226">I405*N405</f>
        <v>515.80272000000002</v>
      </c>
      <c r="P405" s="81">
        <f t="shared" ref="P405:P416" si="227">K405+O405</f>
        <v>649.01747999999998</v>
      </c>
      <c r="Q405" s="96"/>
    </row>
    <row r="406" spans="1:17" customFormat="1">
      <c r="A406" s="36" t="str">
        <f>IF(TRIM(G406)&lt;&gt;"",COUNTA(G$7:$G406)&amp;"","")</f>
        <v>296</v>
      </c>
      <c r="B406" s="37"/>
      <c r="C406" s="6"/>
      <c r="D406" s="38"/>
      <c r="E406" s="104" t="s">
        <v>376</v>
      </c>
      <c r="F406" s="40">
        <v>1</v>
      </c>
      <c r="G406" s="44" t="s">
        <v>85</v>
      </c>
      <c r="H406" s="42">
        <v>0</v>
      </c>
      <c r="I406" s="76">
        <f t="shared" si="223"/>
        <v>1</v>
      </c>
      <c r="J406" s="77">
        <v>22.202459999999999</v>
      </c>
      <c r="K406" s="78">
        <f t="shared" si="224"/>
        <v>22.202459999999999</v>
      </c>
      <c r="L406" s="79">
        <v>107.4589</v>
      </c>
      <c r="M406" s="84">
        <v>0.8</v>
      </c>
      <c r="N406" s="80">
        <f t="shared" si="225"/>
        <v>85.967119999999994</v>
      </c>
      <c r="O406" s="78">
        <f t="shared" si="226"/>
        <v>85.967119999999994</v>
      </c>
      <c r="P406" s="81">
        <f t="shared" si="227"/>
        <v>108.16958</v>
      </c>
      <c r="Q406" s="96"/>
    </row>
    <row r="407" spans="1:17" customFormat="1">
      <c r="A407" s="36" t="str">
        <f>IF(TRIM(G407)&lt;&gt;"",COUNTA(G$7:$G407)&amp;"","")</f>
        <v>297</v>
      </c>
      <c r="B407" s="37"/>
      <c r="C407" s="6"/>
      <c r="D407" s="38"/>
      <c r="E407" s="104" t="s">
        <v>377</v>
      </c>
      <c r="F407" s="40">
        <v>15</v>
      </c>
      <c r="G407" s="44" t="s">
        <v>85</v>
      </c>
      <c r="H407" s="42">
        <v>0</v>
      </c>
      <c r="I407" s="76">
        <f t="shared" si="223"/>
        <v>15</v>
      </c>
      <c r="J407" s="77">
        <v>22.952860000000001</v>
      </c>
      <c r="K407" s="78">
        <f t="shared" si="224"/>
        <v>344.29289999999997</v>
      </c>
      <c r="L407" s="79">
        <v>107.4589</v>
      </c>
      <c r="M407" s="84">
        <v>0.8</v>
      </c>
      <c r="N407" s="80">
        <f t="shared" si="225"/>
        <v>85.967119999999994</v>
      </c>
      <c r="O407" s="78">
        <f t="shared" si="226"/>
        <v>1289.5068000000001</v>
      </c>
      <c r="P407" s="81">
        <f t="shared" si="227"/>
        <v>1633.7997</v>
      </c>
      <c r="Q407" s="96"/>
    </row>
    <row r="408" spans="1:17" customFormat="1">
      <c r="A408" s="36" t="str">
        <f>IF(TRIM(G408)&lt;&gt;"",COUNTA(G$7:$G408)&amp;"","")</f>
        <v>298</v>
      </c>
      <c r="B408" s="37"/>
      <c r="C408" s="6"/>
      <c r="D408" s="38"/>
      <c r="E408" s="109" t="s">
        <v>378</v>
      </c>
      <c r="F408" s="40">
        <v>1</v>
      </c>
      <c r="G408" s="44" t="s">
        <v>85</v>
      </c>
      <c r="H408" s="42">
        <v>0</v>
      </c>
      <c r="I408" s="76">
        <f t="shared" si="223"/>
        <v>1</v>
      </c>
      <c r="J408" s="77">
        <v>1782.2</v>
      </c>
      <c r="K408" s="78">
        <f t="shared" si="224"/>
        <v>1782.2</v>
      </c>
      <c r="L408" s="79">
        <v>107.4589</v>
      </c>
      <c r="M408" s="84">
        <v>12.221</v>
      </c>
      <c r="N408" s="80">
        <f t="shared" si="225"/>
        <v>1313.2552169000001</v>
      </c>
      <c r="O408" s="78">
        <f t="shared" si="226"/>
        <v>1313.2552169000001</v>
      </c>
      <c r="P408" s="81">
        <f t="shared" si="227"/>
        <v>3095.4552168999999</v>
      </c>
      <c r="Q408" s="96"/>
    </row>
    <row r="409" spans="1:17" customFormat="1">
      <c r="A409" s="36" t="str">
        <f>IF(TRIM(G409)&lt;&gt;"",COUNTA(G$7:$G409)&amp;"","")</f>
        <v>299</v>
      </c>
      <c r="B409" s="37"/>
      <c r="C409" s="6"/>
      <c r="D409" s="38"/>
      <c r="E409" s="104" t="s">
        <v>379</v>
      </c>
      <c r="F409" s="40">
        <v>3</v>
      </c>
      <c r="G409" s="44" t="s">
        <v>85</v>
      </c>
      <c r="H409" s="42">
        <v>0</v>
      </c>
      <c r="I409" s="76">
        <f t="shared" si="223"/>
        <v>3</v>
      </c>
      <c r="J409" s="77">
        <v>51.7776</v>
      </c>
      <c r="K409" s="78">
        <f t="shared" si="224"/>
        <v>155.33279999999999</v>
      </c>
      <c r="L409" s="79">
        <v>107.4589</v>
      </c>
      <c r="M409" s="84">
        <v>1</v>
      </c>
      <c r="N409" s="80">
        <f t="shared" si="225"/>
        <v>107.4589</v>
      </c>
      <c r="O409" s="78">
        <f t="shared" si="226"/>
        <v>322.37670000000003</v>
      </c>
      <c r="P409" s="81">
        <f t="shared" si="227"/>
        <v>477.70949999999999</v>
      </c>
      <c r="Q409" s="96"/>
    </row>
    <row r="410" spans="1:17" customFormat="1">
      <c r="A410" s="36" t="str">
        <f>IF(TRIM(G410)&lt;&gt;"",COUNTA(G$7:$G410)&amp;"","")</f>
        <v>300</v>
      </c>
      <c r="B410" s="37"/>
      <c r="C410" s="6"/>
      <c r="D410" s="38"/>
      <c r="E410" s="104" t="s">
        <v>377</v>
      </c>
      <c r="F410" s="40">
        <v>7</v>
      </c>
      <c r="G410" s="44" t="s">
        <v>85</v>
      </c>
      <c r="H410" s="42">
        <v>0</v>
      </c>
      <c r="I410" s="76">
        <f t="shared" si="223"/>
        <v>7</v>
      </c>
      <c r="J410" s="77">
        <v>22.952860000000001</v>
      </c>
      <c r="K410" s="78">
        <f t="shared" si="224"/>
        <v>160.67001999999999</v>
      </c>
      <c r="L410" s="79">
        <v>107.4589</v>
      </c>
      <c r="M410" s="84">
        <v>0.8</v>
      </c>
      <c r="N410" s="80">
        <f t="shared" si="225"/>
        <v>85.967119999999994</v>
      </c>
      <c r="O410" s="78">
        <f t="shared" si="226"/>
        <v>601.76984000000004</v>
      </c>
      <c r="P410" s="81">
        <f t="shared" si="227"/>
        <v>762.43985999999995</v>
      </c>
      <c r="Q410" s="96"/>
    </row>
    <row r="411" spans="1:17" customFormat="1">
      <c r="A411" s="36" t="str">
        <f>IF(TRIM(G411)&lt;&gt;"",COUNTA(G$7:$G411)&amp;"","")</f>
        <v>301</v>
      </c>
      <c r="B411" s="37"/>
      <c r="C411" s="6"/>
      <c r="D411" s="38"/>
      <c r="E411" s="104" t="s">
        <v>380</v>
      </c>
      <c r="F411" s="40">
        <v>5</v>
      </c>
      <c r="G411" s="44" t="s">
        <v>85</v>
      </c>
      <c r="H411" s="42">
        <v>0</v>
      </c>
      <c r="I411" s="76">
        <f t="shared" si="223"/>
        <v>5</v>
      </c>
      <c r="J411" s="77">
        <v>22.952860000000001</v>
      </c>
      <c r="K411" s="78">
        <f t="shared" si="224"/>
        <v>114.76430000000001</v>
      </c>
      <c r="L411" s="79">
        <v>107.4589</v>
      </c>
      <c r="M411" s="84">
        <v>0.8</v>
      </c>
      <c r="N411" s="80">
        <f t="shared" si="225"/>
        <v>85.967119999999994</v>
      </c>
      <c r="O411" s="78">
        <f t="shared" si="226"/>
        <v>429.8356</v>
      </c>
      <c r="P411" s="81">
        <f t="shared" si="227"/>
        <v>544.59990000000005</v>
      </c>
      <c r="Q411" s="96"/>
    </row>
    <row r="412" spans="1:17" customFormat="1">
      <c r="A412" s="36" t="str">
        <f>IF(TRIM(G412)&lt;&gt;"",COUNTA(G$7:$G412)&amp;"","")</f>
        <v>302</v>
      </c>
      <c r="B412" s="37"/>
      <c r="C412" s="6"/>
      <c r="D412" s="38"/>
      <c r="E412" s="104" t="s">
        <v>381</v>
      </c>
      <c r="F412" s="40">
        <v>2</v>
      </c>
      <c r="G412" s="44" t="s">
        <v>85</v>
      </c>
      <c r="H412" s="42">
        <v>0</v>
      </c>
      <c r="I412" s="76">
        <f t="shared" si="223"/>
        <v>2</v>
      </c>
      <c r="J412" s="77">
        <v>48.897939999999998</v>
      </c>
      <c r="K412" s="78">
        <f t="shared" si="224"/>
        <v>97.795879999999997</v>
      </c>
      <c r="L412" s="79">
        <v>107.4589</v>
      </c>
      <c r="M412" s="84">
        <v>1</v>
      </c>
      <c r="N412" s="80">
        <f t="shared" si="225"/>
        <v>107.4589</v>
      </c>
      <c r="O412" s="78">
        <f t="shared" si="226"/>
        <v>214.9178</v>
      </c>
      <c r="P412" s="81">
        <f t="shared" si="227"/>
        <v>312.71368000000001</v>
      </c>
      <c r="Q412" s="96"/>
    </row>
    <row r="413" spans="1:17" customFormat="1">
      <c r="A413" s="36" t="str">
        <f>IF(TRIM(G413)&lt;&gt;"",COUNTA(G$7:$G413)&amp;"","")</f>
        <v>303</v>
      </c>
      <c r="B413" s="37"/>
      <c r="C413" s="6"/>
      <c r="D413" s="38"/>
      <c r="E413" s="104" t="s">
        <v>382</v>
      </c>
      <c r="F413" s="40">
        <v>1</v>
      </c>
      <c r="G413" s="44" t="s">
        <v>85</v>
      </c>
      <c r="H413" s="42">
        <v>0</v>
      </c>
      <c r="I413" s="76">
        <f t="shared" si="223"/>
        <v>1</v>
      </c>
      <c r="J413" s="77">
        <v>235.43799999999999</v>
      </c>
      <c r="K413" s="78">
        <f t="shared" si="224"/>
        <v>235.43799999999999</v>
      </c>
      <c r="L413" s="79">
        <v>107.4589</v>
      </c>
      <c r="M413" s="84">
        <v>1.29</v>
      </c>
      <c r="N413" s="80">
        <f t="shared" si="225"/>
        <v>138.62198100000001</v>
      </c>
      <c r="O413" s="78">
        <f t="shared" si="226"/>
        <v>138.62198100000001</v>
      </c>
      <c r="P413" s="81">
        <f t="shared" si="227"/>
        <v>374.05998099999999</v>
      </c>
      <c r="Q413" s="96"/>
    </row>
    <row r="414" spans="1:17" customFormat="1">
      <c r="A414" s="36" t="str">
        <f>IF(TRIM(G414)&lt;&gt;"",COUNTA(G$7:$G414)&amp;"","")</f>
        <v>304</v>
      </c>
      <c r="B414" s="37"/>
      <c r="C414" s="6"/>
      <c r="D414" s="38"/>
      <c r="E414" s="104" t="s">
        <v>383</v>
      </c>
      <c r="F414" s="40">
        <v>4</v>
      </c>
      <c r="G414" s="44" t="s">
        <v>85</v>
      </c>
      <c r="H414" s="42">
        <v>0</v>
      </c>
      <c r="I414" s="76">
        <f t="shared" si="223"/>
        <v>4</v>
      </c>
      <c r="J414" s="77">
        <v>53.981900000000003</v>
      </c>
      <c r="K414" s="78">
        <f t="shared" si="224"/>
        <v>215.92760000000001</v>
      </c>
      <c r="L414" s="79">
        <v>107.4589</v>
      </c>
      <c r="M414" s="84">
        <v>1.0669999999999999</v>
      </c>
      <c r="N414" s="80">
        <f t="shared" si="225"/>
        <v>114.6586463</v>
      </c>
      <c r="O414" s="78">
        <f t="shared" si="226"/>
        <v>458.6345852</v>
      </c>
      <c r="P414" s="81">
        <f t="shared" si="227"/>
        <v>674.56218520000004</v>
      </c>
      <c r="Q414" s="96"/>
    </row>
    <row r="415" spans="1:17" customFormat="1">
      <c r="A415" s="36" t="str">
        <f>IF(TRIM(G415)&lt;&gt;"",COUNTA(G$7:$G415)&amp;"","")</f>
        <v>305</v>
      </c>
      <c r="B415" s="37"/>
      <c r="C415" s="6"/>
      <c r="D415" s="38"/>
      <c r="E415" s="104" t="s">
        <v>384</v>
      </c>
      <c r="F415" s="40">
        <v>1</v>
      </c>
      <c r="G415" s="44" t="s">
        <v>85</v>
      </c>
      <c r="H415" s="42">
        <v>0</v>
      </c>
      <c r="I415" s="76">
        <f t="shared" si="223"/>
        <v>1</v>
      </c>
      <c r="J415" s="77">
        <v>219.2106</v>
      </c>
      <c r="K415" s="78">
        <f t="shared" si="224"/>
        <v>219.2106</v>
      </c>
      <c r="L415" s="79">
        <v>107.4589</v>
      </c>
      <c r="M415" s="84">
        <v>1.29</v>
      </c>
      <c r="N415" s="80">
        <f t="shared" si="225"/>
        <v>138.62198100000001</v>
      </c>
      <c r="O415" s="78">
        <f t="shared" si="226"/>
        <v>138.62198100000001</v>
      </c>
      <c r="P415" s="81">
        <f t="shared" si="227"/>
        <v>357.832581</v>
      </c>
      <c r="Q415" s="96"/>
    </row>
    <row r="416" spans="1:17" customFormat="1">
      <c r="A416" s="36" t="str">
        <f>IF(TRIM(G416)&lt;&gt;"",COUNTA(G$7:$G416)&amp;"","")</f>
        <v>306</v>
      </c>
      <c r="B416" s="37"/>
      <c r="C416" s="6"/>
      <c r="D416" s="38"/>
      <c r="E416" s="104" t="s">
        <v>385</v>
      </c>
      <c r="F416" s="40">
        <v>2</v>
      </c>
      <c r="G416" s="44" t="s">
        <v>85</v>
      </c>
      <c r="H416" s="42">
        <v>0</v>
      </c>
      <c r="I416" s="76">
        <f t="shared" si="223"/>
        <v>2</v>
      </c>
      <c r="J416" s="77">
        <v>647.22</v>
      </c>
      <c r="K416" s="78">
        <f t="shared" si="224"/>
        <v>1294.44</v>
      </c>
      <c r="L416" s="79">
        <v>107.4589</v>
      </c>
      <c r="M416" s="84">
        <v>1.85</v>
      </c>
      <c r="N416" s="80">
        <f t="shared" si="225"/>
        <v>198.79896500000001</v>
      </c>
      <c r="O416" s="78">
        <f t="shared" si="226"/>
        <v>397.59793000000002</v>
      </c>
      <c r="P416" s="81">
        <f t="shared" si="227"/>
        <v>1692.03793</v>
      </c>
      <c r="Q416" s="96"/>
    </row>
    <row r="417" spans="1:17" customFormat="1">
      <c r="A417" s="36" t="str">
        <f>IF(TRIM(G417)&lt;&gt;"",COUNTA(G$7:$G417)&amp;"","")</f>
        <v/>
      </c>
      <c r="B417" s="37"/>
      <c r="C417" s="100"/>
      <c r="D417" s="38"/>
      <c r="E417" s="103"/>
      <c r="F417" s="40"/>
      <c r="G417" s="44"/>
      <c r="H417" s="42"/>
      <c r="I417" s="76"/>
      <c r="J417" s="77"/>
      <c r="K417" s="78"/>
      <c r="L417" s="79"/>
      <c r="M417" s="84"/>
      <c r="N417" s="80"/>
      <c r="O417" s="78"/>
      <c r="P417" s="81"/>
      <c r="Q417" s="96"/>
    </row>
    <row r="418" spans="1:17" s="7" customFormat="1" ht="19.2" customHeight="1">
      <c r="A418" s="36" t="str">
        <f>IF(TRIM(G418)&lt;&gt;"",COUNTA(G$7:$G418)&amp;"","")</f>
        <v/>
      </c>
      <c r="B418" s="37"/>
      <c r="C418" s="37"/>
      <c r="D418" s="38"/>
      <c r="E418" s="102" t="s">
        <v>386</v>
      </c>
      <c r="F418" s="40"/>
      <c r="G418" s="41"/>
      <c r="H418" s="42"/>
      <c r="I418" s="76"/>
      <c r="J418" s="77"/>
      <c r="K418" s="78"/>
      <c r="L418" s="79"/>
      <c r="M418" s="80"/>
      <c r="N418" s="80"/>
      <c r="O418" s="78"/>
      <c r="P418" s="81"/>
      <c r="Q418" s="96"/>
    </row>
    <row r="419" spans="1:17" customFormat="1">
      <c r="A419" s="36" t="str">
        <f>IF(TRIM(G419)&lt;&gt;"",COUNTA(G$7:$G419)&amp;"","")</f>
        <v>307</v>
      </c>
      <c r="B419" s="37"/>
      <c r="C419" s="6"/>
      <c r="D419" s="38"/>
      <c r="E419" s="43" t="s">
        <v>387</v>
      </c>
      <c r="F419" s="40">
        <v>1</v>
      </c>
      <c r="G419" s="44" t="s">
        <v>85</v>
      </c>
      <c r="H419" s="42">
        <v>0</v>
      </c>
      <c r="I419" s="76">
        <f t="shared" ref="I419:I421" si="228">IF(F419=0,"",F419+(F419*H419))</f>
        <v>1</v>
      </c>
      <c r="J419" s="77">
        <v>5794.9639999999999</v>
      </c>
      <c r="K419" s="78">
        <f t="shared" ref="K419:K421" si="229">IF(F419=0,"",J419*I419)</f>
        <v>5794.9639999999999</v>
      </c>
      <c r="L419" s="79">
        <v>107.4589</v>
      </c>
      <c r="M419" s="84">
        <v>13.377000000000001</v>
      </c>
      <c r="N419" s="80">
        <f t="shared" ref="N419:N421" si="230">L419*M419</f>
        <v>1437.4777053</v>
      </c>
      <c r="O419" s="78">
        <f t="shared" ref="O419:O421" si="231">I419*N419</f>
        <v>1437.4777053</v>
      </c>
      <c r="P419" s="81">
        <f t="shared" ref="P419:P421" si="232">K419+O419</f>
        <v>7232.4417052999997</v>
      </c>
      <c r="Q419" s="96"/>
    </row>
    <row r="420" spans="1:17" customFormat="1">
      <c r="A420" s="36" t="str">
        <f>IF(TRIM(G420)&lt;&gt;"",COUNTA(G$7:$G420)&amp;"","")</f>
        <v>308</v>
      </c>
      <c r="B420" s="37"/>
      <c r="C420" s="6"/>
      <c r="D420" s="38"/>
      <c r="E420" s="43" t="s">
        <v>388</v>
      </c>
      <c r="F420" s="40">
        <v>1</v>
      </c>
      <c r="G420" s="44" t="s">
        <v>85</v>
      </c>
      <c r="H420" s="42">
        <v>0</v>
      </c>
      <c r="I420" s="76">
        <f t="shared" si="228"/>
        <v>1</v>
      </c>
      <c r="J420" s="77">
        <v>1125.5999999999999</v>
      </c>
      <c r="K420" s="78">
        <f t="shared" si="229"/>
        <v>1125.5999999999999</v>
      </c>
      <c r="L420" s="79">
        <v>107.4589</v>
      </c>
      <c r="M420" s="84">
        <v>3.625</v>
      </c>
      <c r="N420" s="80">
        <f t="shared" si="230"/>
        <v>389.53851250000002</v>
      </c>
      <c r="O420" s="78">
        <f t="shared" si="231"/>
        <v>389.53851250000002</v>
      </c>
      <c r="P420" s="81">
        <f t="shared" si="232"/>
        <v>1515.1385124999999</v>
      </c>
      <c r="Q420" s="96"/>
    </row>
    <row r="421" spans="1:17" customFormat="1">
      <c r="A421" s="36" t="str">
        <f>IF(TRIM(G421)&lt;&gt;"",COUNTA(G$7:$G421)&amp;"","")</f>
        <v>309</v>
      </c>
      <c r="B421" s="37"/>
      <c r="C421" s="6"/>
      <c r="D421" s="38"/>
      <c r="E421" s="43" t="s">
        <v>389</v>
      </c>
      <c r="F421" s="40">
        <v>1</v>
      </c>
      <c r="G421" s="44" t="s">
        <v>85</v>
      </c>
      <c r="H421" s="42">
        <v>0</v>
      </c>
      <c r="I421" s="76">
        <f t="shared" si="228"/>
        <v>1</v>
      </c>
      <c r="J421" s="77">
        <v>5534.2</v>
      </c>
      <c r="K421" s="78">
        <f t="shared" si="229"/>
        <v>5534.2</v>
      </c>
      <c r="L421" s="79">
        <v>107.4589</v>
      </c>
      <c r="M421" s="84">
        <v>10</v>
      </c>
      <c r="N421" s="80">
        <f t="shared" si="230"/>
        <v>1074.5889999999999</v>
      </c>
      <c r="O421" s="78">
        <f t="shared" si="231"/>
        <v>1074.5889999999999</v>
      </c>
      <c r="P421" s="81">
        <f t="shared" si="232"/>
        <v>6608.7889999999998</v>
      </c>
      <c r="Q421" s="96"/>
    </row>
    <row r="422" spans="1:17" customFormat="1">
      <c r="A422" s="36" t="str">
        <f>IF(TRIM(G422)&lt;&gt;"",COUNTA(G$7:$G422)&amp;"","")</f>
        <v/>
      </c>
      <c r="B422" s="37"/>
      <c r="C422" s="100"/>
      <c r="D422" s="38"/>
      <c r="E422" s="103"/>
      <c r="F422" s="40"/>
      <c r="G422" s="44"/>
      <c r="H422" s="42"/>
      <c r="I422" s="76"/>
      <c r="J422" s="77"/>
      <c r="K422" s="78"/>
      <c r="L422" s="79"/>
      <c r="M422" s="84"/>
      <c r="N422" s="80"/>
      <c r="O422" s="78"/>
      <c r="P422" s="81"/>
      <c r="Q422" s="96"/>
    </row>
    <row r="423" spans="1:17" s="7" customFormat="1" ht="19.2" customHeight="1">
      <c r="A423" s="36" t="str">
        <f>IF(TRIM(G423)&lt;&gt;"",COUNTA(G$7:$G423)&amp;"","")</f>
        <v/>
      </c>
      <c r="B423" s="37"/>
      <c r="C423" s="37"/>
      <c r="D423" s="38"/>
      <c r="E423" s="102" t="s">
        <v>390</v>
      </c>
      <c r="F423" s="40"/>
      <c r="G423" s="41"/>
      <c r="H423" s="42"/>
      <c r="I423" s="76"/>
      <c r="J423" s="77"/>
      <c r="K423" s="78"/>
      <c r="L423" s="79"/>
      <c r="M423" s="80"/>
      <c r="N423" s="80"/>
      <c r="O423" s="78"/>
      <c r="P423" s="81"/>
      <c r="Q423" s="96"/>
    </row>
    <row r="424" spans="1:17" customFormat="1">
      <c r="A424" s="36" t="str">
        <f>IF(TRIM(G424)&lt;&gt;"",COUNTA(G$7:$G424)&amp;"","")</f>
        <v>310</v>
      </c>
      <c r="B424" s="37"/>
      <c r="C424" s="6"/>
      <c r="D424" s="38"/>
      <c r="E424" s="43" t="s">
        <v>391</v>
      </c>
      <c r="F424" s="40">
        <v>1</v>
      </c>
      <c r="G424" s="44" t="s">
        <v>85</v>
      </c>
      <c r="H424" s="42">
        <v>0</v>
      </c>
      <c r="I424" s="76">
        <f t="shared" ref="I424:I436" si="233">IF(F424=0,"",F424+(F424*H424))</f>
        <v>1</v>
      </c>
      <c r="J424" s="77">
        <v>70.349999999999994</v>
      </c>
      <c r="K424" s="78">
        <f t="shared" ref="K424:K436" si="234">IF(F424=0,"",J424*I424)</f>
        <v>70.349999999999994</v>
      </c>
      <c r="L424" s="79">
        <v>107.4589</v>
      </c>
      <c r="M424" s="84">
        <v>1.1419999999999999</v>
      </c>
      <c r="N424" s="80">
        <f t="shared" ref="N424:N436" si="235">L424*M424</f>
        <v>122.7180638</v>
      </c>
      <c r="O424" s="78">
        <f t="shared" ref="O424:O436" si="236">I424*N424</f>
        <v>122.7180638</v>
      </c>
      <c r="P424" s="81">
        <f t="shared" ref="P424:P436" si="237">K424+O424</f>
        <v>193.0680638</v>
      </c>
      <c r="Q424" s="96"/>
    </row>
    <row r="425" spans="1:17" customFormat="1">
      <c r="A425" s="36" t="str">
        <f>IF(TRIM(G425)&lt;&gt;"",COUNTA(G$7:$G425)&amp;"","")</f>
        <v>311</v>
      </c>
      <c r="B425" s="37"/>
      <c r="C425" s="6"/>
      <c r="D425" s="38"/>
      <c r="E425" s="43" t="s">
        <v>392</v>
      </c>
      <c r="F425" s="40">
        <v>1</v>
      </c>
      <c r="G425" s="44" t="s">
        <v>85</v>
      </c>
      <c r="H425" s="42">
        <v>0</v>
      </c>
      <c r="I425" s="76">
        <f t="shared" si="233"/>
        <v>1</v>
      </c>
      <c r="J425" s="77">
        <v>14.585900000000001</v>
      </c>
      <c r="K425" s="78">
        <f t="shared" si="234"/>
        <v>14.585900000000001</v>
      </c>
      <c r="L425" s="79">
        <v>107.4589</v>
      </c>
      <c r="M425" s="84">
        <v>0.46500000000000002</v>
      </c>
      <c r="N425" s="80">
        <f t="shared" si="235"/>
        <v>49.968388500000003</v>
      </c>
      <c r="O425" s="78">
        <f t="shared" si="236"/>
        <v>49.968388500000003</v>
      </c>
      <c r="P425" s="81">
        <f t="shared" si="237"/>
        <v>64.554288499999998</v>
      </c>
      <c r="Q425" s="96"/>
    </row>
    <row r="426" spans="1:17" customFormat="1">
      <c r="A426" s="36" t="str">
        <f>IF(TRIM(G426)&lt;&gt;"",COUNTA(G$7:$G426)&amp;"","")</f>
        <v>312</v>
      </c>
      <c r="B426" s="37"/>
      <c r="C426" s="6"/>
      <c r="D426" s="38"/>
      <c r="E426" s="43" t="s">
        <v>393</v>
      </c>
      <c r="F426" s="40">
        <v>2</v>
      </c>
      <c r="G426" s="44" t="s">
        <v>85</v>
      </c>
      <c r="H426" s="42">
        <v>0</v>
      </c>
      <c r="I426" s="76">
        <f t="shared" si="233"/>
        <v>2</v>
      </c>
      <c r="J426" s="77">
        <v>22.512</v>
      </c>
      <c r="K426" s="78">
        <f t="shared" si="234"/>
        <v>45.024000000000001</v>
      </c>
      <c r="L426" s="79">
        <v>107.4589</v>
      </c>
      <c r="M426" s="84">
        <v>0.60399999999999998</v>
      </c>
      <c r="N426" s="80">
        <f t="shared" si="235"/>
        <v>64.905175600000007</v>
      </c>
      <c r="O426" s="78">
        <f t="shared" si="236"/>
        <v>129.81035120000001</v>
      </c>
      <c r="P426" s="81">
        <f t="shared" si="237"/>
        <v>174.83435119999999</v>
      </c>
      <c r="Q426" s="96"/>
    </row>
    <row r="427" spans="1:17" customFormat="1">
      <c r="A427" s="36" t="str">
        <f>IF(TRIM(G427)&lt;&gt;"",COUNTA(G$7:$G427)&amp;"","")</f>
        <v>313</v>
      </c>
      <c r="B427" s="37"/>
      <c r="C427" s="6"/>
      <c r="D427" s="38"/>
      <c r="E427" s="43" t="s">
        <v>394</v>
      </c>
      <c r="F427" s="40">
        <v>1</v>
      </c>
      <c r="G427" s="44" t="s">
        <v>85</v>
      </c>
      <c r="H427" s="42">
        <v>0</v>
      </c>
      <c r="I427" s="76">
        <f t="shared" si="233"/>
        <v>1</v>
      </c>
      <c r="J427" s="77">
        <v>51.59</v>
      </c>
      <c r="K427" s="78">
        <f t="shared" si="234"/>
        <v>51.59</v>
      </c>
      <c r="L427" s="79">
        <v>107.4589</v>
      </c>
      <c r="M427" s="84">
        <v>0.5</v>
      </c>
      <c r="N427" s="80">
        <f t="shared" si="235"/>
        <v>53.72945</v>
      </c>
      <c r="O427" s="78">
        <f t="shared" si="236"/>
        <v>53.72945</v>
      </c>
      <c r="P427" s="81">
        <f t="shared" si="237"/>
        <v>105.31945</v>
      </c>
      <c r="Q427" s="96"/>
    </row>
    <row r="428" spans="1:17" customFormat="1">
      <c r="A428" s="36" t="str">
        <f>IF(TRIM(G428)&lt;&gt;"",COUNTA(G$7:$G428)&amp;"","")</f>
        <v>314</v>
      </c>
      <c r="B428" s="37"/>
      <c r="C428" s="6"/>
      <c r="D428" s="38"/>
      <c r="E428" s="43" t="s">
        <v>395</v>
      </c>
      <c r="F428" s="40">
        <v>1</v>
      </c>
      <c r="G428" s="44" t="s">
        <v>85</v>
      </c>
      <c r="H428" s="42">
        <v>0</v>
      </c>
      <c r="I428" s="76">
        <f t="shared" si="233"/>
        <v>1</v>
      </c>
      <c r="J428" s="77">
        <v>112.56</v>
      </c>
      <c r="K428" s="78">
        <f t="shared" si="234"/>
        <v>112.56</v>
      </c>
      <c r="L428" s="79">
        <v>107.4589</v>
      </c>
      <c r="M428" s="84">
        <v>0.59899999999999998</v>
      </c>
      <c r="N428" s="80">
        <f t="shared" si="235"/>
        <v>64.367881100000005</v>
      </c>
      <c r="O428" s="78">
        <f t="shared" si="236"/>
        <v>64.367881100000005</v>
      </c>
      <c r="P428" s="81">
        <f t="shared" si="237"/>
        <v>176.92788110000001</v>
      </c>
      <c r="Q428" s="96"/>
    </row>
    <row r="429" spans="1:17" customFormat="1">
      <c r="A429" s="36" t="str">
        <f>IF(TRIM(G429)&lt;&gt;"",COUNTA(G$7:$G429)&amp;"","")</f>
        <v>315</v>
      </c>
      <c r="B429" s="37"/>
      <c r="C429" s="6"/>
      <c r="D429" s="38"/>
      <c r="E429" s="43" t="s">
        <v>396</v>
      </c>
      <c r="F429" s="40">
        <v>14</v>
      </c>
      <c r="G429" s="44" t="s">
        <v>85</v>
      </c>
      <c r="H429" s="42">
        <v>0</v>
      </c>
      <c r="I429" s="76">
        <f t="shared" si="233"/>
        <v>14</v>
      </c>
      <c r="J429" s="77">
        <v>112.56</v>
      </c>
      <c r="K429" s="78">
        <f t="shared" si="234"/>
        <v>1575.84</v>
      </c>
      <c r="L429" s="79">
        <v>107.4589</v>
      </c>
      <c r="M429" s="84">
        <v>0.59899999999999998</v>
      </c>
      <c r="N429" s="80">
        <f t="shared" si="235"/>
        <v>64.367881100000005</v>
      </c>
      <c r="O429" s="78">
        <f t="shared" si="236"/>
        <v>901.15033540000002</v>
      </c>
      <c r="P429" s="81">
        <f t="shared" si="237"/>
        <v>2476.9903353999998</v>
      </c>
      <c r="Q429" s="96"/>
    </row>
    <row r="430" spans="1:17" customFormat="1">
      <c r="A430" s="36" t="str">
        <f>IF(TRIM(G430)&lt;&gt;"",COUNTA(G$7:$G430)&amp;"","")</f>
        <v>316</v>
      </c>
      <c r="B430" s="37"/>
      <c r="C430" s="6"/>
      <c r="D430" s="38"/>
      <c r="E430" s="43" t="s">
        <v>397</v>
      </c>
      <c r="F430" s="40">
        <v>5</v>
      </c>
      <c r="G430" s="44" t="s">
        <v>85</v>
      </c>
      <c r="H430" s="42">
        <v>0</v>
      </c>
      <c r="I430" s="76">
        <f t="shared" si="233"/>
        <v>5</v>
      </c>
      <c r="J430" s="77">
        <v>92.861999999999995</v>
      </c>
      <c r="K430" s="78">
        <f t="shared" si="234"/>
        <v>464.31</v>
      </c>
      <c r="L430" s="79">
        <v>107.4589</v>
      </c>
      <c r="M430" s="84">
        <v>0.59699999999999998</v>
      </c>
      <c r="N430" s="80">
        <f t="shared" si="235"/>
        <v>64.152963299999996</v>
      </c>
      <c r="O430" s="78">
        <f t="shared" si="236"/>
        <v>320.76481649999999</v>
      </c>
      <c r="P430" s="81">
        <f t="shared" si="237"/>
        <v>785.0748165</v>
      </c>
      <c r="Q430" s="96"/>
    </row>
    <row r="431" spans="1:17" customFormat="1">
      <c r="A431" s="36" t="str">
        <f>IF(TRIM(G431)&lt;&gt;"",COUNTA(G$7:$G431)&amp;"","")</f>
        <v>317</v>
      </c>
      <c r="B431" s="37"/>
      <c r="C431" s="6"/>
      <c r="D431" s="38"/>
      <c r="E431" s="43" t="s">
        <v>398</v>
      </c>
      <c r="F431" s="40">
        <v>2</v>
      </c>
      <c r="G431" s="44" t="s">
        <v>85</v>
      </c>
      <c r="H431" s="42">
        <v>0</v>
      </c>
      <c r="I431" s="76">
        <f t="shared" si="233"/>
        <v>2</v>
      </c>
      <c r="J431" s="77">
        <v>92.861999999999995</v>
      </c>
      <c r="K431" s="78">
        <f t="shared" si="234"/>
        <v>185.72399999999999</v>
      </c>
      <c r="L431" s="79">
        <v>107.4589</v>
      </c>
      <c r="M431" s="84">
        <v>0.59699999999999998</v>
      </c>
      <c r="N431" s="80">
        <f t="shared" si="235"/>
        <v>64.152963299999996</v>
      </c>
      <c r="O431" s="78">
        <f t="shared" si="236"/>
        <v>128.30592659999999</v>
      </c>
      <c r="P431" s="81">
        <f t="shared" si="237"/>
        <v>314.02992660000001</v>
      </c>
      <c r="Q431" s="96"/>
    </row>
    <row r="432" spans="1:17" customFormat="1">
      <c r="A432" s="36" t="str">
        <f>IF(TRIM(G432)&lt;&gt;"",COUNTA(G$7:$G432)&amp;"","")</f>
        <v>318</v>
      </c>
      <c r="B432" s="37"/>
      <c r="C432" s="6"/>
      <c r="D432" s="38"/>
      <c r="E432" s="43" t="s">
        <v>399</v>
      </c>
      <c r="F432" s="40">
        <v>1</v>
      </c>
      <c r="G432" s="44" t="s">
        <v>85</v>
      </c>
      <c r="H432" s="42">
        <v>0</v>
      </c>
      <c r="I432" s="76">
        <f t="shared" si="233"/>
        <v>1</v>
      </c>
      <c r="J432" s="77">
        <v>91.924000000000007</v>
      </c>
      <c r="K432" s="78">
        <f t="shared" si="234"/>
        <v>91.924000000000007</v>
      </c>
      <c r="L432" s="79">
        <v>107.4589</v>
      </c>
      <c r="M432" s="84">
        <v>0.59899999999999998</v>
      </c>
      <c r="N432" s="80">
        <f t="shared" si="235"/>
        <v>64.367881100000005</v>
      </c>
      <c r="O432" s="78">
        <f t="shared" si="236"/>
        <v>64.367881100000005</v>
      </c>
      <c r="P432" s="81">
        <f t="shared" si="237"/>
        <v>156.29188110000001</v>
      </c>
      <c r="Q432" s="96"/>
    </row>
    <row r="433" spans="1:17" customFormat="1">
      <c r="A433" s="36" t="str">
        <f>IF(TRIM(G433)&lt;&gt;"",COUNTA(G$7:$G433)&amp;"","")</f>
        <v>319</v>
      </c>
      <c r="B433" s="37"/>
      <c r="C433" s="6"/>
      <c r="D433" s="38"/>
      <c r="E433" s="43" t="s">
        <v>400</v>
      </c>
      <c r="F433" s="40">
        <v>1</v>
      </c>
      <c r="G433" s="44" t="s">
        <v>85</v>
      </c>
      <c r="H433" s="42">
        <v>0</v>
      </c>
      <c r="I433" s="76">
        <f t="shared" si="233"/>
        <v>1</v>
      </c>
      <c r="J433" s="77">
        <v>89.11</v>
      </c>
      <c r="K433" s="78">
        <f t="shared" si="234"/>
        <v>89.11</v>
      </c>
      <c r="L433" s="79">
        <v>107.4589</v>
      </c>
      <c r="M433" s="84">
        <v>0.59699999999999998</v>
      </c>
      <c r="N433" s="80">
        <f t="shared" si="235"/>
        <v>64.152963299999996</v>
      </c>
      <c r="O433" s="78">
        <f t="shared" si="236"/>
        <v>64.152963299999996</v>
      </c>
      <c r="P433" s="81">
        <f t="shared" si="237"/>
        <v>153.2629633</v>
      </c>
      <c r="Q433" s="96"/>
    </row>
    <row r="434" spans="1:17" customFormat="1">
      <c r="A434" s="36" t="str">
        <f>IF(TRIM(G434)&lt;&gt;"",COUNTA(G$7:$G434)&amp;"","")</f>
        <v>320</v>
      </c>
      <c r="B434" s="37"/>
      <c r="C434" s="6"/>
      <c r="D434" s="38"/>
      <c r="E434" s="43" t="s">
        <v>401</v>
      </c>
      <c r="F434" s="40">
        <v>1</v>
      </c>
      <c r="G434" s="44" t="s">
        <v>85</v>
      </c>
      <c r="H434" s="42">
        <v>0</v>
      </c>
      <c r="I434" s="76">
        <f t="shared" si="233"/>
        <v>1</v>
      </c>
      <c r="J434" s="77">
        <v>103.18</v>
      </c>
      <c r="K434" s="78">
        <f t="shared" si="234"/>
        <v>103.18</v>
      </c>
      <c r="L434" s="79">
        <v>107.4589</v>
      </c>
      <c r="M434" s="84">
        <v>0.59699999999999998</v>
      </c>
      <c r="N434" s="80">
        <f t="shared" si="235"/>
        <v>64.152963299999996</v>
      </c>
      <c r="O434" s="78">
        <f t="shared" si="236"/>
        <v>64.152963299999996</v>
      </c>
      <c r="P434" s="81">
        <f t="shared" si="237"/>
        <v>167.33296329999999</v>
      </c>
      <c r="Q434" s="96"/>
    </row>
    <row r="435" spans="1:17" customFormat="1">
      <c r="A435" s="36" t="str">
        <f>IF(TRIM(G435)&lt;&gt;"",COUNTA(G$7:$G435)&amp;"","")</f>
        <v>321</v>
      </c>
      <c r="B435" s="37"/>
      <c r="C435" s="6"/>
      <c r="D435" s="38"/>
      <c r="E435" s="43" t="s">
        <v>402</v>
      </c>
      <c r="F435" s="40">
        <v>2</v>
      </c>
      <c r="G435" s="44" t="s">
        <v>85</v>
      </c>
      <c r="H435" s="42">
        <v>0</v>
      </c>
      <c r="I435" s="76">
        <f t="shared" si="233"/>
        <v>2</v>
      </c>
      <c r="J435" s="77">
        <v>89.11</v>
      </c>
      <c r="K435" s="78">
        <f t="shared" si="234"/>
        <v>178.22</v>
      </c>
      <c r="L435" s="79">
        <v>107.4589</v>
      </c>
      <c r="M435" s="84">
        <v>0.59699999999999998</v>
      </c>
      <c r="N435" s="80">
        <f t="shared" si="235"/>
        <v>64.152963299999996</v>
      </c>
      <c r="O435" s="78">
        <f t="shared" si="236"/>
        <v>128.30592659999999</v>
      </c>
      <c r="P435" s="81">
        <f t="shared" si="237"/>
        <v>306.52592659999999</v>
      </c>
      <c r="Q435" s="96"/>
    </row>
    <row r="436" spans="1:17" customFormat="1">
      <c r="A436" s="36" t="str">
        <f>IF(TRIM(G436)&lt;&gt;"",COUNTA(G$7:$G436)&amp;"","")</f>
        <v>322</v>
      </c>
      <c r="B436" s="37"/>
      <c r="C436" s="6"/>
      <c r="D436" s="38"/>
      <c r="E436" s="43" t="s">
        <v>403</v>
      </c>
      <c r="F436" s="40">
        <v>1</v>
      </c>
      <c r="G436" s="44" t="s">
        <v>85</v>
      </c>
      <c r="H436" s="42">
        <v>0</v>
      </c>
      <c r="I436" s="76">
        <f t="shared" si="233"/>
        <v>1</v>
      </c>
      <c r="J436" s="77">
        <v>70.349999999999994</v>
      </c>
      <c r="K436" s="78">
        <f t="shared" si="234"/>
        <v>70.349999999999994</v>
      </c>
      <c r="L436" s="79">
        <v>107.4589</v>
      </c>
      <c r="M436" s="84">
        <v>1.1419999999999999</v>
      </c>
      <c r="N436" s="80">
        <f t="shared" si="235"/>
        <v>122.7180638</v>
      </c>
      <c r="O436" s="78">
        <f t="shared" si="236"/>
        <v>122.7180638</v>
      </c>
      <c r="P436" s="81">
        <f t="shared" si="237"/>
        <v>193.0680638</v>
      </c>
      <c r="Q436" s="96"/>
    </row>
    <row r="437" spans="1:17" customFormat="1">
      <c r="A437" s="36" t="str">
        <f>IF(TRIM(G437)&lt;&gt;"",COUNTA(G$7:$G437)&amp;"","")</f>
        <v/>
      </c>
      <c r="B437" s="37"/>
      <c r="C437" s="100"/>
      <c r="D437" s="38"/>
      <c r="E437" s="103"/>
      <c r="F437" s="40"/>
      <c r="G437" s="44"/>
      <c r="H437" s="42"/>
      <c r="I437" s="76"/>
      <c r="J437" s="77"/>
      <c r="K437" s="78"/>
      <c r="L437" s="79"/>
      <c r="M437" s="84"/>
      <c r="N437" s="80"/>
      <c r="O437" s="78"/>
      <c r="P437" s="81"/>
      <c r="Q437" s="96"/>
    </row>
    <row r="438" spans="1:17" s="7" customFormat="1" ht="19.2" customHeight="1">
      <c r="A438" s="36" t="str">
        <f>IF(TRIM(G438)&lt;&gt;"",COUNTA(G$7:$G438)&amp;"","")</f>
        <v/>
      </c>
      <c r="B438" s="37"/>
      <c r="C438" s="37"/>
      <c r="D438" s="38"/>
      <c r="E438" s="102" t="s">
        <v>404</v>
      </c>
      <c r="F438" s="40"/>
      <c r="G438" s="41"/>
      <c r="H438" s="42"/>
      <c r="I438" s="76"/>
      <c r="J438" s="77"/>
      <c r="K438" s="78"/>
      <c r="L438" s="79"/>
      <c r="M438" s="80"/>
      <c r="N438" s="80"/>
      <c r="O438" s="78"/>
      <c r="P438" s="81"/>
      <c r="Q438" s="96"/>
    </row>
    <row r="439" spans="1:17" customFormat="1">
      <c r="A439" s="36" t="str">
        <f>IF(TRIM(G439)&lt;&gt;"",COUNTA(G$7:$G439)&amp;"","")</f>
        <v>323</v>
      </c>
      <c r="B439" s="37"/>
      <c r="C439" s="6"/>
      <c r="D439" s="38"/>
      <c r="E439" s="43" t="s">
        <v>405</v>
      </c>
      <c r="F439" s="40">
        <v>3</v>
      </c>
      <c r="G439" s="44" t="s">
        <v>85</v>
      </c>
      <c r="H439" s="42">
        <v>0</v>
      </c>
      <c r="I439" s="76">
        <f t="shared" ref="I439:I441" si="238">IF(F439=0,"",F439+(F439*H439))</f>
        <v>3</v>
      </c>
      <c r="J439" s="77">
        <v>133.59934000000001</v>
      </c>
      <c r="K439" s="78">
        <f t="shared" ref="K439:K441" si="239">IF(F439=0,"",J439*I439)</f>
        <v>400.79802000000001</v>
      </c>
      <c r="L439" s="79">
        <v>107.4589</v>
      </c>
      <c r="M439" s="84">
        <v>1.2210000000000001</v>
      </c>
      <c r="N439" s="80">
        <f t="shared" ref="N439:N441" si="240">L439*M439</f>
        <v>131.2073169</v>
      </c>
      <c r="O439" s="78">
        <f t="shared" ref="O439:O441" si="241">I439*N439</f>
        <v>393.62195070000001</v>
      </c>
      <c r="P439" s="81">
        <f t="shared" ref="P439:P441" si="242">K439+O439</f>
        <v>794.41997070000002</v>
      </c>
      <c r="Q439" s="96"/>
    </row>
    <row r="440" spans="1:17" customFormat="1">
      <c r="A440" s="36" t="str">
        <f>IF(TRIM(G440)&lt;&gt;"",COUNTA(G$7:$G440)&amp;"","")</f>
        <v>324</v>
      </c>
      <c r="B440" s="37"/>
      <c r="C440" s="6"/>
      <c r="D440" s="38"/>
      <c r="E440" s="43" t="s">
        <v>406</v>
      </c>
      <c r="F440" s="40">
        <v>1</v>
      </c>
      <c r="G440" s="44" t="s">
        <v>85</v>
      </c>
      <c r="H440" s="42">
        <v>0</v>
      </c>
      <c r="I440" s="76">
        <f t="shared" si="238"/>
        <v>1</v>
      </c>
      <c r="J440" s="77">
        <v>347.99799999999999</v>
      </c>
      <c r="K440" s="78">
        <f t="shared" si="239"/>
        <v>347.99799999999999</v>
      </c>
      <c r="L440" s="79">
        <v>107.4589</v>
      </c>
      <c r="M440" s="84">
        <v>2.3119999999999998</v>
      </c>
      <c r="N440" s="80">
        <f t="shared" si="240"/>
        <v>248.44497680000001</v>
      </c>
      <c r="O440" s="78">
        <f t="shared" si="241"/>
        <v>248.44497680000001</v>
      </c>
      <c r="P440" s="81">
        <f t="shared" si="242"/>
        <v>596.4429768</v>
      </c>
      <c r="Q440" s="96"/>
    </row>
    <row r="441" spans="1:17" customFormat="1">
      <c r="A441" s="36" t="str">
        <f>IF(TRIM(G441)&lt;&gt;"",COUNTA(G$7:$G441)&amp;"","")</f>
        <v>325</v>
      </c>
      <c r="B441" s="37"/>
      <c r="C441" s="6"/>
      <c r="D441" s="38"/>
      <c r="E441" s="43" t="s">
        <v>407</v>
      </c>
      <c r="F441" s="40">
        <v>1</v>
      </c>
      <c r="G441" s="44" t="s">
        <v>85</v>
      </c>
      <c r="H441" s="42">
        <v>0</v>
      </c>
      <c r="I441" s="76">
        <f t="shared" si="238"/>
        <v>1</v>
      </c>
      <c r="J441" s="77">
        <v>360.49216000000001</v>
      </c>
      <c r="K441" s="78">
        <f t="shared" si="239"/>
        <v>360.49216000000001</v>
      </c>
      <c r="L441" s="79">
        <v>107.4589</v>
      </c>
      <c r="M441" s="84">
        <v>2.3119999999999998</v>
      </c>
      <c r="N441" s="80">
        <f t="shared" si="240"/>
        <v>248.44497680000001</v>
      </c>
      <c r="O441" s="78">
        <f t="shared" si="241"/>
        <v>248.44497680000001</v>
      </c>
      <c r="P441" s="81">
        <f t="shared" si="242"/>
        <v>608.93713679999996</v>
      </c>
      <c r="Q441" s="96"/>
    </row>
    <row r="442" spans="1:17" customFormat="1">
      <c r="A442" s="36" t="str">
        <f>IF(TRIM(G442)&lt;&gt;"",COUNTA(G$7:$G442)&amp;"","")</f>
        <v/>
      </c>
      <c r="B442" s="37"/>
      <c r="C442" s="100"/>
      <c r="D442" s="38"/>
      <c r="E442" s="103"/>
      <c r="F442" s="40"/>
      <c r="G442" s="44"/>
      <c r="H442" s="42"/>
      <c r="I442" s="76"/>
      <c r="J442" s="77"/>
      <c r="K442" s="78"/>
      <c r="L442" s="79"/>
      <c r="M442" s="84"/>
      <c r="N442" s="80"/>
      <c r="O442" s="78"/>
      <c r="P442" s="81"/>
      <c r="Q442" s="96"/>
    </row>
    <row r="443" spans="1:17" s="7" customFormat="1" ht="19.2" customHeight="1">
      <c r="A443" s="36" t="str">
        <f>IF(TRIM(G443)&lt;&gt;"",COUNTA(G$7:$G443)&amp;"","")</f>
        <v/>
      </c>
      <c r="B443" s="37"/>
      <c r="C443" s="37"/>
      <c r="D443" s="38"/>
      <c r="E443" s="102" t="s">
        <v>273</v>
      </c>
      <c r="F443" s="40"/>
      <c r="G443" s="41"/>
      <c r="H443" s="42"/>
      <c r="I443" s="76"/>
      <c r="J443" s="77"/>
      <c r="K443" s="78"/>
      <c r="L443" s="79"/>
      <c r="M443" s="80"/>
      <c r="N443" s="80"/>
      <c r="O443" s="78"/>
      <c r="P443" s="81"/>
      <c r="Q443" s="96"/>
    </row>
    <row r="444" spans="1:17" customFormat="1">
      <c r="A444" s="36" t="str">
        <f>IF(TRIM(G444)&lt;&gt;"",COUNTA(G$7:$G444)&amp;"","")</f>
        <v>326</v>
      </c>
      <c r="B444" s="37"/>
      <c r="C444" s="6"/>
      <c r="D444" s="38"/>
      <c r="E444" s="43" t="s">
        <v>408</v>
      </c>
      <c r="F444" s="40">
        <v>9</v>
      </c>
      <c r="G444" s="44" t="s">
        <v>85</v>
      </c>
      <c r="H444" s="42">
        <v>0</v>
      </c>
      <c r="I444" s="76">
        <f>IF(F444=0,"",F444+(F444*H444))</f>
        <v>9</v>
      </c>
      <c r="J444" s="77">
        <v>178.22</v>
      </c>
      <c r="K444" s="78">
        <f t="shared" ref="K444:K445" si="243">IF(F444=0,"",J444*I444)</f>
        <v>1603.98</v>
      </c>
      <c r="L444" s="79">
        <v>107.4589</v>
      </c>
      <c r="M444" s="84">
        <v>2.9969999999999999</v>
      </c>
      <c r="N444" s="80">
        <f t="shared" ref="N444:N445" si="244">L444*M444</f>
        <v>322.05432330000002</v>
      </c>
      <c r="O444" s="78">
        <f t="shared" ref="O444:O445" si="245">I444*N444</f>
        <v>2898.4889097</v>
      </c>
      <c r="P444" s="81">
        <f t="shared" ref="P444:P445" si="246">K444+O444</f>
        <v>4502.4689097</v>
      </c>
      <c r="Q444" s="96"/>
    </row>
    <row r="445" spans="1:17" customFormat="1">
      <c r="A445" s="36" t="str">
        <f>IF(TRIM(G445)&lt;&gt;"",COUNTA(G$7:$G445)&amp;"","")</f>
        <v>327</v>
      </c>
      <c r="B445" s="37"/>
      <c r="C445" s="6"/>
      <c r="D445" s="38"/>
      <c r="E445" s="43" t="s">
        <v>409</v>
      </c>
      <c r="F445" s="40">
        <v>1</v>
      </c>
      <c r="G445" s="44" t="s">
        <v>85</v>
      </c>
      <c r="H445" s="42">
        <v>0</v>
      </c>
      <c r="I445" s="76">
        <f>IF(F445=0,"",F445+(F445*H445))</f>
        <v>1</v>
      </c>
      <c r="J445" s="77">
        <v>77.853999999999999</v>
      </c>
      <c r="K445" s="78">
        <f t="shared" si="243"/>
        <v>77.853999999999999</v>
      </c>
      <c r="L445" s="79">
        <v>107.4589</v>
      </c>
      <c r="M445" s="84">
        <v>0.72599999999999998</v>
      </c>
      <c r="N445" s="80">
        <f t="shared" si="244"/>
        <v>78.015161399999997</v>
      </c>
      <c r="O445" s="78">
        <f t="shared" si="245"/>
        <v>78.015161399999997</v>
      </c>
      <c r="P445" s="81">
        <f t="shared" si="246"/>
        <v>155.8691614</v>
      </c>
      <c r="Q445" s="96"/>
    </row>
    <row r="446" spans="1:17" customFormat="1">
      <c r="A446" s="36" t="str">
        <f>IF(TRIM(G446)&lt;&gt;"",COUNTA(G$7:$G446)&amp;"","")</f>
        <v/>
      </c>
      <c r="B446" s="37"/>
      <c r="C446" s="6"/>
      <c r="D446" s="46"/>
      <c r="E446" s="105"/>
      <c r="F446" s="40"/>
      <c r="G446" s="106"/>
      <c r="H446" s="107"/>
      <c r="I446" s="111"/>
      <c r="J446" s="112"/>
      <c r="K446" s="113"/>
      <c r="L446" s="113"/>
      <c r="M446" s="114"/>
      <c r="N446" s="115"/>
      <c r="O446" s="113"/>
      <c r="P446" s="113"/>
      <c r="Q446" s="121"/>
    </row>
    <row r="447" spans="1:17" s="8" customFormat="1" ht="15.6">
      <c r="A447" s="36" t="str">
        <f>IF(TRIM(G447)&lt;&gt;"",COUNTA(G$7:$G447)&amp;"","")</f>
        <v/>
      </c>
      <c r="B447" s="48"/>
      <c r="C447" s="48"/>
      <c r="D447" s="46"/>
      <c r="E447" s="105"/>
      <c r="F447" s="51"/>
      <c r="G447" s="52"/>
      <c r="H447" s="53" t="s">
        <v>93</v>
      </c>
      <c r="I447" s="85"/>
      <c r="J447" s="86">
        <f>SUM(K373:K445)</f>
        <v>48414.126166000002</v>
      </c>
      <c r="K447" s="263" t="s">
        <v>94</v>
      </c>
      <c r="L447" s="264"/>
      <c r="M447" s="87">
        <f>SUM(O373:O445)</f>
        <v>47651.875500920003</v>
      </c>
      <c r="N447" s="263"/>
      <c r="O447" s="264"/>
      <c r="P447" s="88"/>
      <c r="Q447" s="97">
        <f>SUM(P373:P445)</f>
        <v>96066.001666919998</v>
      </c>
    </row>
    <row r="448" spans="1:17" customFormat="1">
      <c r="A448" s="36" t="str">
        <f>IF(TRIM(G448)&lt;&gt;"",COUNTA(G$7:$G448)&amp;"","")</f>
        <v/>
      </c>
      <c r="B448" s="37"/>
      <c r="C448" s="6"/>
      <c r="D448" s="38"/>
      <c r="E448" s="43"/>
      <c r="F448" s="40"/>
      <c r="G448" s="44"/>
      <c r="H448" s="42"/>
      <c r="I448" s="76"/>
      <c r="J448" s="77"/>
      <c r="K448" s="78"/>
      <c r="L448" s="79"/>
      <c r="M448" s="84"/>
      <c r="N448" s="80"/>
      <c r="O448" s="78"/>
      <c r="P448" s="81"/>
      <c r="Q448" s="96"/>
    </row>
    <row r="449" spans="1:17" ht="20.100000000000001" customHeight="1">
      <c r="A449" s="29" t="str">
        <f>IF(TRIM(G449)&lt;&gt;"",COUNTA(G$7:$G449)&amp;"","")</f>
        <v/>
      </c>
      <c r="B449" s="30"/>
      <c r="C449" s="31" t="s">
        <v>1</v>
      </c>
      <c r="D449" s="32" t="s">
        <v>410</v>
      </c>
      <c r="E449" s="33" t="s">
        <v>411</v>
      </c>
      <c r="F449" s="34"/>
      <c r="G449" s="35"/>
      <c r="H449" s="30"/>
      <c r="I449" s="74"/>
      <c r="J449" s="30"/>
      <c r="K449" s="30"/>
      <c r="L449" s="30"/>
      <c r="M449" s="75"/>
      <c r="N449" s="30"/>
      <c r="O449" s="30"/>
      <c r="P449" s="30"/>
      <c r="Q449" s="95"/>
    </row>
    <row r="450" spans="1:17" s="7" customFormat="1" ht="19.2" customHeight="1">
      <c r="A450" s="36" t="str">
        <f>IF(TRIM(G450)&lt;&gt;"",COUNTA(G$7:$G450)&amp;"","")</f>
        <v/>
      </c>
      <c r="B450" s="37"/>
      <c r="C450" s="37"/>
      <c r="D450" s="38"/>
      <c r="E450" s="101" t="s">
        <v>412</v>
      </c>
      <c r="F450" s="40"/>
      <c r="G450" s="41"/>
      <c r="H450" s="42"/>
      <c r="I450" s="76"/>
      <c r="J450" s="77"/>
      <c r="K450" s="78"/>
      <c r="L450" s="79"/>
      <c r="M450" s="80"/>
      <c r="N450" s="80"/>
      <c r="O450" s="78"/>
      <c r="P450" s="81"/>
      <c r="Q450" s="96"/>
    </row>
    <row r="451" spans="1:17" customFormat="1">
      <c r="A451" s="36" t="str">
        <f>IF(TRIM(G451)&lt;&gt;"",COUNTA(G$7:$G451)&amp;"","")</f>
        <v>328</v>
      </c>
      <c r="B451" s="37"/>
      <c r="C451" s="6"/>
      <c r="D451" s="38"/>
      <c r="E451" s="43" t="s">
        <v>413</v>
      </c>
      <c r="F451" s="40">
        <v>395</v>
      </c>
      <c r="G451" s="44" t="s">
        <v>82</v>
      </c>
      <c r="H451" s="42">
        <v>0.05</v>
      </c>
      <c r="I451" s="76">
        <f>IF(F451=0,"",F451+(F451*H451))</f>
        <v>414.75</v>
      </c>
      <c r="J451" s="77">
        <v>0.56279999999999997</v>
      </c>
      <c r="K451" s="78">
        <f t="shared" ref="K451" si="247">IF(F451=0,"",J451*I451)</f>
        <v>233.4213</v>
      </c>
      <c r="L451" s="79">
        <v>107.4589</v>
      </c>
      <c r="M451" s="84">
        <v>1.2999999999999999E-2</v>
      </c>
      <c r="N451" s="80">
        <f t="shared" ref="N451" si="248">L451*M451</f>
        <v>1.3969657</v>
      </c>
      <c r="O451" s="78">
        <f t="shared" ref="O451" si="249">I451*N451</f>
        <v>579.39152407500001</v>
      </c>
      <c r="P451" s="81">
        <f t="shared" ref="P451" si="250">K451+O451</f>
        <v>812.81282407499998</v>
      </c>
      <c r="Q451" s="96"/>
    </row>
    <row r="452" spans="1:17" customFormat="1">
      <c r="A452" s="36" t="str">
        <f>IF(TRIM(G452)&lt;&gt;"",COUNTA(G$7:$G452)&amp;"","")</f>
        <v/>
      </c>
      <c r="B452" s="37"/>
      <c r="C452" s="6"/>
      <c r="D452" s="38"/>
      <c r="E452" s="43"/>
      <c r="F452" s="40"/>
      <c r="G452" s="44"/>
      <c r="H452" s="42"/>
      <c r="I452" s="76"/>
      <c r="J452" s="77"/>
      <c r="K452" s="78"/>
      <c r="L452" s="79"/>
      <c r="M452" s="84"/>
      <c r="N452" s="80"/>
      <c r="O452" s="78"/>
      <c r="P452" s="81"/>
      <c r="Q452" s="96"/>
    </row>
    <row r="453" spans="1:17" s="7" customFormat="1" ht="19.2" customHeight="1">
      <c r="A453" s="36" t="str">
        <f>IF(TRIM(G453)&lt;&gt;"",COUNTA(G$7:$G453)&amp;"","")</f>
        <v/>
      </c>
      <c r="B453" s="37"/>
      <c r="C453" s="37"/>
      <c r="D453" s="38"/>
      <c r="E453" s="102" t="s">
        <v>414</v>
      </c>
      <c r="F453" s="40"/>
      <c r="G453" s="41"/>
      <c r="H453" s="42"/>
      <c r="I453" s="76"/>
      <c r="J453" s="77"/>
      <c r="K453" s="78"/>
      <c r="L453" s="79"/>
      <c r="M453" s="80"/>
      <c r="N453" s="80"/>
      <c r="O453" s="78"/>
      <c r="P453" s="81"/>
      <c r="Q453" s="96"/>
    </row>
    <row r="454" spans="1:17" customFormat="1">
      <c r="A454" s="36" t="str">
        <f>IF(TRIM(G454)&lt;&gt;"",COUNTA(G$7:$G454)&amp;"","")</f>
        <v>329</v>
      </c>
      <c r="B454" s="37"/>
      <c r="C454" s="6"/>
      <c r="D454" s="38"/>
      <c r="E454" s="43" t="s">
        <v>415</v>
      </c>
      <c r="F454" s="40">
        <v>5</v>
      </c>
      <c r="G454" s="44" t="s">
        <v>85</v>
      </c>
      <c r="H454" s="42">
        <v>0</v>
      </c>
      <c r="I454" s="76">
        <f>IF(F454=0,"",F454+(F454*H454))</f>
        <v>5</v>
      </c>
      <c r="J454" s="77">
        <v>82.543999999999997</v>
      </c>
      <c r="K454" s="78">
        <f t="shared" ref="K454" si="251">IF(F454=0,"",J454*I454)</f>
        <v>412.72</v>
      </c>
      <c r="L454" s="79">
        <v>107.4589</v>
      </c>
      <c r="M454" s="84">
        <v>1.0029999999999999</v>
      </c>
      <c r="N454" s="80">
        <f t="shared" ref="N454" si="252">L454*M454</f>
        <v>107.78127670000001</v>
      </c>
      <c r="O454" s="78">
        <f t="shared" ref="O454" si="253">I454*N454</f>
        <v>538.90638349999995</v>
      </c>
      <c r="P454" s="81">
        <f t="shared" ref="P454" si="254">K454+O454</f>
        <v>951.62638349999997</v>
      </c>
      <c r="Q454" s="96"/>
    </row>
    <row r="455" spans="1:17" customFormat="1">
      <c r="A455" s="36" t="str">
        <f>IF(TRIM(G455)&lt;&gt;"",COUNTA(G$7:$G455)&amp;"","")</f>
        <v/>
      </c>
      <c r="B455" s="5"/>
      <c r="C455" s="6"/>
      <c r="D455" s="38"/>
      <c r="E455" s="45"/>
      <c r="F455" s="40"/>
      <c r="G455" s="41"/>
      <c r="H455" s="42"/>
      <c r="I455" s="76"/>
      <c r="J455" s="77"/>
      <c r="K455" s="78"/>
      <c r="L455" s="79"/>
      <c r="M455" s="84"/>
      <c r="N455" s="80"/>
      <c r="O455" s="78"/>
      <c r="P455" s="81"/>
      <c r="Q455" s="96"/>
    </row>
    <row r="456" spans="1:17" s="8" customFormat="1" ht="15.6">
      <c r="A456" s="36" t="str">
        <f>IF(TRIM(G456)&lt;&gt;"",COUNTA(G$7:$G456)&amp;"","")</f>
        <v/>
      </c>
      <c r="B456" s="48"/>
      <c r="C456" s="48"/>
      <c r="D456" s="49"/>
      <c r="E456" s="50"/>
      <c r="F456" s="51"/>
      <c r="G456" s="52"/>
      <c r="H456" s="53" t="s">
        <v>93</v>
      </c>
      <c r="I456" s="85"/>
      <c r="J456" s="86">
        <f>SUM(K450:K455)</f>
        <v>646.1413</v>
      </c>
      <c r="K456" s="263" t="s">
        <v>94</v>
      </c>
      <c r="L456" s="264"/>
      <c r="M456" s="87">
        <f>SUM(O450:O455)</f>
        <v>1118.297907575</v>
      </c>
      <c r="N456" s="263"/>
      <c r="O456" s="264"/>
      <c r="P456" s="88"/>
      <c r="Q456" s="97">
        <f>SUM(P450:P455)</f>
        <v>1764.439207575</v>
      </c>
    </row>
    <row r="457" spans="1:17">
      <c r="A457" s="54" t="str">
        <f>IF(TRIM(G457)&lt;&gt;"",COUNTA(G$7:$G457)&amp;"","")</f>
        <v/>
      </c>
      <c r="B457" s="6"/>
      <c r="C457" s="6"/>
      <c r="D457" s="55"/>
      <c r="E457" s="56"/>
      <c r="F457" s="40"/>
      <c r="G457" s="41"/>
      <c r="H457" s="42" t="str">
        <f>IF(F457=0,"",0)</f>
        <v/>
      </c>
      <c r="I457" s="76" t="str">
        <f>IF(F457=0,"",F457+(F457*H457))</f>
        <v/>
      </c>
      <c r="J457" s="77" t="str">
        <f>IF(F457=0,"",0)</f>
        <v/>
      </c>
      <c r="K457" s="78" t="str">
        <f>IF(F457=0,"",J457*I457)</f>
        <v/>
      </c>
      <c r="L457" s="79" t="str">
        <f>IF(F457=0,"",#REF!)</f>
        <v/>
      </c>
      <c r="M457" s="80" t="str">
        <f>IF(F457=0,"",0)</f>
        <v/>
      </c>
      <c r="N457" s="80" t="str">
        <f>IF(F457=0,"",M457*I457)</f>
        <v/>
      </c>
      <c r="O457" s="78" t="str">
        <f>IF(F457=0,"",N457*L457)</f>
        <v/>
      </c>
      <c r="P457" s="81" t="str">
        <f>IF(F457=0,"",K457+O457)</f>
        <v/>
      </c>
      <c r="Q457" s="96"/>
    </row>
    <row r="458" spans="1:17" s="8" customFormat="1" ht="15.6">
      <c r="A458" s="36" t="str">
        <f>IF(TRIM(G458)&lt;&gt;"",COUNTA(G$7:$G458)&amp;"","")</f>
        <v/>
      </c>
      <c r="B458" s="125"/>
      <c r="C458" s="125"/>
      <c r="D458" s="49"/>
      <c r="E458" s="50"/>
      <c r="F458" s="51"/>
      <c r="G458" s="52"/>
      <c r="H458" s="285" t="s">
        <v>416</v>
      </c>
      <c r="I458" s="286"/>
      <c r="J458" s="142">
        <f>SUM(K$7:K$457)</f>
        <v>333844.199376876</v>
      </c>
      <c r="K458" s="287" t="s">
        <v>417</v>
      </c>
      <c r="L458" s="288"/>
      <c r="M458" s="143">
        <f>SUM(O$7:O$457)</f>
        <v>164289.47868336501</v>
      </c>
      <c r="N458" s="287"/>
      <c r="O458" s="288"/>
      <c r="P458" s="143"/>
      <c r="Q458" s="146">
        <f>SUM(Q$7:Q$457)</f>
        <v>498133.67806024099</v>
      </c>
    </row>
    <row r="459" spans="1:17">
      <c r="A459" s="36" t="str">
        <f>IF(TRIM(G459)&lt;&gt;"",COUNTA(G$7:$G459)&amp;"","")</f>
        <v/>
      </c>
      <c r="B459" s="100"/>
      <c r="C459" s="100"/>
      <c r="D459" s="126"/>
      <c r="E459" s="127"/>
      <c r="F459" s="40"/>
      <c r="G459" s="41"/>
      <c r="H459" s="42" t="str">
        <f>IF(F459=0,"",0)</f>
        <v/>
      </c>
      <c r="I459" s="76" t="str">
        <f t="shared" ref="I459" si="255">IF(F459=0,"",F459+(F459*H459))</f>
        <v/>
      </c>
      <c r="J459" s="77" t="str">
        <f>IF(F459=0,"",0)</f>
        <v/>
      </c>
      <c r="K459" s="78" t="str">
        <f>IF(F459=0,"",J459*I459)</f>
        <v/>
      </c>
      <c r="L459" s="79" t="str">
        <f>IF(F459=0,"",#REF!)</f>
        <v/>
      </c>
      <c r="M459" s="80" t="str">
        <f>IF(F459=0,"",0)</f>
        <v/>
      </c>
      <c r="N459" s="80" t="str">
        <f>IF(F459=0,"",M459*I459)</f>
        <v/>
      </c>
      <c r="O459" s="78" t="str">
        <f>IF(F459=0,"",N459*L459)</f>
        <v/>
      </c>
      <c r="P459" s="81" t="str">
        <f>IF(F459=0,"",K459+O459)</f>
        <v/>
      </c>
      <c r="Q459" s="96"/>
    </row>
    <row r="460" spans="1:17" ht="20.100000000000001" customHeight="1">
      <c r="A460" s="282" t="s">
        <v>16</v>
      </c>
      <c r="B460" s="283"/>
      <c r="C460" s="283"/>
      <c r="D460" s="283"/>
      <c r="E460" s="283"/>
      <c r="F460" s="283"/>
      <c r="G460" s="283"/>
      <c r="H460" s="283"/>
      <c r="I460" s="283"/>
      <c r="J460" s="283"/>
      <c r="K460" s="283"/>
      <c r="L460" s="283"/>
      <c r="M460" s="283"/>
      <c r="N460" s="283"/>
      <c r="O460" s="283"/>
      <c r="P460" s="284"/>
      <c r="Q460" s="147">
        <f>SUM(K$7:$K$459)</f>
        <v>333844.199376876</v>
      </c>
    </row>
    <row r="461" spans="1:17" ht="20.100000000000001" customHeight="1">
      <c r="A461" s="282" t="s">
        <v>22</v>
      </c>
      <c r="B461" s="283"/>
      <c r="C461" s="283"/>
      <c r="D461" s="283"/>
      <c r="E461" s="283"/>
      <c r="F461" s="283"/>
      <c r="G461" s="283"/>
      <c r="H461" s="283"/>
      <c r="I461" s="283"/>
      <c r="J461" s="283"/>
      <c r="K461" s="283"/>
      <c r="L461" s="283"/>
      <c r="M461" s="283"/>
      <c r="N461" s="283"/>
      <c r="O461" s="283"/>
      <c r="P461" s="284"/>
      <c r="Q461" s="147">
        <f>SUM(O$7:O$459)</f>
        <v>164289.47868336501</v>
      </c>
    </row>
    <row r="462" spans="1:17" ht="18">
      <c r="A462" s="128"/>
      <c r="B462" s="129" t="s">
        <v>418</v>
      </c>
      <c r="C462" s="130"/>
      <c r="D462" s="131"/>
      <c r="E462" s="129"/>
      <c r="F462" s="132"/>
      <c r="G462" s="133"/>
      <c r="H462" s="134"/>
      <c r="I462" s="134"/>
      <c r="J462" s="134"/>
      <c r="K462" s="134"/>
      <c r="L462" s="134"/>
      <c r="M462" s="144"/>
      <c r="N462" s="134"/>
      <c r="O462" s="134"/>
      <c r="P462" s="134"/>
      <c r="Q462" s="148"/>
    </row>
    <row r="463" spans="1:17" s="9" customFormat="1" ht="18" customHeight="1">
      <c r="A463" s="135">
        <v>1</v>
      </c>
      <c r="B463" s="265" t="s">
        <v>419</v>
      </c>
      <c r="C463" s="265"/>
      <c r="D463" s="265"/>
      <c r="E463" s="265"/>
      <c r="F463" s="136"/>
      <c r="G463" s="137"/>
      <c r="H463" s="138"/>
      <c r="I463" s="138"/>
      <c r="J463" s="138"/>
      <c r="K463" s="138"/>
      <c r="L463" s="138"/>
      <c r="M463" s="145"/>
      <c r="N463" s="138"/>
      <c r="O463" s="138"/>
      <c r="P463" s="138"/>
      <c r="Q463" s="149"/>
    </row>
    <row r="464" spans="1:17" s="9" customFormat="1" ht="18" customHeight="1">
      <c r="A464" s="135">
        <v>2</v>
      </c>
      <c r="B464" s="265" t="s">
        <v>420</v>
      </c>
      <c r="C464" s="265"/>
      <c r="D464" s="265"/>
      <c r="E464" s="265"/>
      <c r="F464" s="265"/>
      <c r="G464" s="265"/>
      <c r="H464" s="265"/>
      <c r="I464" s="265"/>
      <c r="J464" s="265"/>
      <c r="K464" s="265"/>
      <c r="L464" s="265"/>
      <c r="M464" s="265"/>
      <c r="N464" s="265"/>
      <c r="O464" s="265"/>
      <c r="P464" s="265"/>
      <c r="Q464" s="266"/>
    </row>
    <row r="465" spans="1:17" s="9" customFormat="1" ht="18" customHeight="1">
      <c r="A465" s="135">
        <v>3</v>
      </c>
      <c r="B465" s="265" t="s">
        <v>421</v>
      </c>
      <c r="C465" s="265"/>
      <c r="D465" s="265"/>
      <c r="E465" s="265"/>
      <c r="F465" s="265"/>
      <c r="G465" s="265"/>
      <c r="H465" s="265"/>
      <c r="I465" s="265"/>
      <c r="J465" s="265"/>
      <c r="K465" s="265"/>
      <c r="L465" s="265"/>
      <c r="M465" s="265"/>
      <c r="N465" s="265"/>
      <c r="O465" s="265"/>
      <c r="P465" s="265"/>
      <c r="Q465" s="266"/>
    </row>
    <row r="466" spans="1:17" s="9" customFormat="1" ht="18" customHeight="1">
      <c r="A466" s="135">
        <v>4</v>
      </c>
      <c r="B466" s="265" t="s">
        <v>422</v>
      </c>
      <c r="C466" s="265"/>
      <c r="D466" s="265"/>
      <c r="E466" s="265"/>
      <c r="F466" s="265"/>
      <c r="G466" s="265"/>
      <c r="H466" s="265"/>
      <c r="I466" s="265"/>
      <c r="J466" s="265"/>
      <c r="K466" s="265"/>
      <c r="L466" s="265"/>
      <c r="M466" s="265"/>
      <c r="N466" s="265"/>
      <c r="O466" s="265"/>
      <c r="P466" s="265"/>
      <c r="Q466" s="266"/>
    </row>
    <row r="467" spans="1:17" ht="21">
      <c r="A467" s="139"/>
      <c r="B467" s="140"/>
      <c r="C467" s="140"/>
      <c r="D467" s="141"/>
      <c r="E467" s="267"/>
      <c r="F467" s="267"/>
      <c r="G467" s="267"/>
      <c r="H467" s="267"/>
      <c r="I467" s="267"/>
      <c r="J467" s="267"/>
      <c r="K467" s="267"/>
      <c r="L467" s="267"/>
      <c r="M467" s="267"/>
      <c r="N467" s="267"/>
      <c r="O467" s="267"/>
      <c r="P467" s="267"/>
      <c r="Q467" s="268"/>
    </row>
  </sheetData>
  <mergeCells count="49">
    <mergeCell ref="B466:Q466"/>
    <mergeCell ref="E467:Q467"/>
    <mergeCell ref="A1:D2"/>
    <mergeCell ref="A3:D5"/>
    <mergeCell ref="A460:P460"/>
    <mergeCell ref="A461:P461"/>
    <mergeCell ref="B463:E463"/>
    <mergeCell ref="B464:Q464"/>
    <mergeCell ref="B465:Q465"/>
    <mergeCell ref="K456:L456"/>
    <mergeCell ref="N456:O456"/>
    <mergeCell ref="H458:I458"/>
    <mergeCell ref="K458:L458"/>
    <mergeCell ref="N458:O458"/>
    <mergeCell ref="K307:L307"/>
    <mergeCell ref="N307:O307"/>
    <mergeCell ref="K370:L370"/>
    <mergeCell ref="N370:O370"/>
    <mergeCell ref="K447:L447"/>
    <mergeCell ref="N447:O447"/>
    <mergeCell ref="K161:L161"/>
    <mergeCell ref="N161:O161"/>
    <mergeCell ref="K208:L208"/>
    <mergeCell ref="N208:O208"/>
    <mergeCell ref="K220:L220"/>
    <mergeCell ref="N220:O220"/>
    <mergeCell ref="K37:L37"/>
    <mergeCell ref="N37:O37"/>
    <mergeCell ref="K49:L49"/>
    <mergeCell ref="N49:O49"/>
    <mergeCell ref="K145:L145"/>
    <mergeCell ref="N145:O145"/>
    <mergeCell ref="F5:L5"/>
    <mergeCell ref="M5:N5"/>
    <mergeCell ref="O5:Q5"/>
    <mergeCell ref="K27:L27"/>
    <mergeCell ref="N27:O27"/>
    <mergeCell ref="F3:L3"/>
    <mergeCell ref="M3:N3"/>
    <mergeCell ref="O3:Q3"/>
    <mergeCell ref="F4:L4"/>
    <mergeCell ref="M4:N4"/>
    <mergeCell ref="O4:Q4"/>
    <mergeCell ref="E1:L1"/>
    <mergeCell ref="M1:N1"/>
    <mergeCell ref="O1:Q1"/>
    <mergeCell ref="E2:L2"/>
    <mergeCell ref="M2:N2"/>
    <mergeCell ref="O2:Q2"/>
  </mergeCells>
  <printOptions horizontalCentered="1"/>
  <pageMargins left="0.23622047244094499" right="0.23622047244094499" top="0.74803149606299202" bottom="0.74803149606299202" header="0.31496062992126" footer="0.31496062992126"/>
  <pageSetup scale="39" fitToHeight="0" orientation="landscape" r:id="rId1"/>
  <rowBreaks count="1" manualBreakCount="1">
    <brk id="161" max="16" man="1"/>
  </rowBreaks>
  <ignoredErrors>
    <ignoredError sqref="J457:P457 J458:M458"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196"/>
  <sheetViews>
    <sheetView view="pageBreakPreview" zoomScaleNormal="100" workbookViewId="0">
      <pane ySplit="1" topLeftCell="A2" activePane="bottomLeft" state="frozen"/>
      <selection pane="bottomLeft" activeCell="A3" sqref="A3:C9"/>
    </sheetView>
  </sheetViews>
  <sheetFormatPr defaultColWidth="9.109375" defaultRowHeight="14.4"/>
  <cols>
    <col min="1" max="1" width="58.109375" style="2" customWidth="1"/>
    <col min="2" max="2" width="15.6640625" style="3" customWidth="1"/>
    <col min="3" max="8" width="15.6640625" style="2" customWidth="1"/>
    <col min="9" max="16384" width="9.109375" style="2"/>
  </cols>
  <sheetData>
    <row r="1" spans="1:8" ht="30.75" customHeight="1">
      <c r="A1" s="4" t="s">
        <v>423</v>
      </c>
      <c r="B1" s="4" t="s">
        <v>424</v>
      </c>
      <c r="C1" s="4" t="s">
        <v>425</v>
      </c>
      <c r="D1" s="4" t="s">
        <v>426</v>
      </c>
      <c r="E1" s="4" t="s">
        <v>427</v>
      </c>
      <c r="F1" s="4" t="s">
        <v>428</v>
      </c>
      <c r="G1" s="4" t="s">
        <v>429</v>
      </c>
      <c r="H1" s="4" t="s">
        <v>425</v>
      </c>
    </row>
    <row r="2" spans="1:8">
      <c r="A2" s="5"/>
      <c r="B2" s="6"/>
      <c r="C2" s="5"/>
      <c r="D2" s="5"/>
      <c r="E2" s="5"/>
      <c r="F2" s="5"/>
      <c r="G2" s="5"/>
      <c r="H2" s="5"/>
    </row>
    <row r="3" spans="1:8">
      <c r="A3" s="5" t="s">
        <v>430</v>
      </c>
      <c r="B3" s="6">
        <f>20*36*2.5524</f>
        <v>1837.7280000000001</v>
      </c>
      <c r="C3" s="6" t="s">
        <v>431</v>
      </c>
      <c r="D3" s="5"/>
      <c r="E3" s="5"/>
      <c r="F3" s="5"/>
      <c r="G3" s="5"/>
      <c r="H3" s="5"/>
    </row>
    <row r="4" spans="1:8">
      <c r="A4" s="5" t="s">
        <v>432</v>
      </c>
      <c r="B4" s="6">
        <f>70*50*11.06+56*40*11.06</f>
        <v>63484.4</v>
      </c>
      <c r="C4" s="6" t="s">
        <v>431</v>
      </c>
      <c r="D4" s="5"/>
      <c r="E4" s="5"/>
      <c r="F4" s="5"/>
      <c r="G4" s="5"/>
      <c r="H4" s="5"/>
    </row>
    <row r="5" spans="1:8">
      <c r="A5" s="5" t="s">
        <v>433</v>
      </c>
      <c r="B5" s="6">
        <f>79*10.2096*40+10.2096*40*12</f>
        <v>37162.944000000003</v>
      </c>
      <c r="C5" s="6" t="s">
        <v>431</v>
      </c>
      <c r="D5" s="5"/>
      <c r="E5" s="5"/>
      <c r="F5" s="5"/>
      <c r="G5" s="5"/>
      <c r="H5" s="5"/>
    </row>
    <row r="6" spans="1:8">
      <c r="A6" s="5" t="s">
        <v>434</v>
      </c>
      <c r="B6" s="6">
        <f>3.1905*40*13+3.1905*60*11+3.1905*50*7</f>
        <v>4881.4650000000001</v>
      </c>
      <c r="C6" s="6" t="s">
        <v>431</v>
      </c>
      <c r="D6" s="5"/>
      <c r="E6" s="5"/>
      <c r="F6" s="5"/>
      <c r="G6" s="5"/>
      <c r="H6" s="5"/>
    </row>
    <row r="7" spans="1:8">
      <c r="A7" s="5" t="s">
        <v>435</v>
      </c>
      <c r="B7" s="6">
        <f>5*3.722*40</f>
        <v>744.4</v>
      </c>
      <c r="C7" s="6" t="s">
        <v>431</v>
      </c>
      <c r="D7" s="5"/>
      <c r="E7" s="5"/>
      <c r="F7" s="5"/>
      <c r="G7" s="5"/>
      <c r="H7" s="5"/>
    </row>
    <row r="8" spans="1:8">
      <c r="A8" s="5" t="s">
        <v>433</v>
      </c>
      <c r="B8" s="6">
        <f>135*50*10.21</f>
        <v>68917.5</v>
      </c>
      <c r="C8" s="6" t="s">
        <v>431</v>
      </c>
      <c r="D8" s="5"/>
      <c r="E8" s="5"/>
      <c r="F8" s="5"/>
      <c r="G8" s="5"/>
      <c r="H8" s="5"/>
    </row>
    <row r="9" spans="1:8">
      <c r="A9" s="5" t="s">
        <v>436</v>
      </c>
      <c r="B9" s="6">
        <f>40*8.295*13</f>
        <v>4313.3999999999996</v>
      </c>
      <c r="C9" s="6" t="s">
        <v>431</v>
      </c>
      <c r="D9" s="5"/>
      <c r="E9" s="5"/>
      <c r="F9" s="5"/>
      <c r="G9" s="5"/>
      <c r="H9" s="5"/>
    </row>
    <row r="10" spans="1:8">
      <c r="A10" s="5"/>
      <c r="B10" s="6"/>
      <c r="C10" s="5"/>
      <c r="D10" s="5"/>
      <c r="E10" s="5"/>
      <c r="F10" s="5"/>
      <c r="G10" s="5"/>
      <c r="H10" s="5"/>
    </row>
    <row r="11" spans="1:8">
      <c r="A11" s="5"/>
      <c r="B11" s="6"/>
      <c r="C11" s="5"/>
      <c r="D11" s="5"/>
      <c r="E11" s="5"/>
      <c r="F11" s="5"/>
      <c r="G11" s="5"/>
      <c r="H11" s="5"/>
    </row>
    <row r="12" spans="1:8">
      <c r="A12" s="5"/>
      <c r="B12" s="6"/>
      <c r="C12" s="5"/>
      <c r="D12" s="5"/>
      <c r="E12" s="5"/>
      <c r="F12" s="5"/>
      <c r="G12" s="5"/>
      <c r="H12" s="5"/>
    </row>
    <row r="13" spans="1:8">
      <c r="A13" s="5"/>
      <c r="B13" s="6"/>
      <c r="C13" s="5"/>
      <c r="D13" s="5"/>
      <c r="E13" s="5"/>
      <c r="F13" s="5"/>
      <c r="G13" s="5"/>
      <c r="H13" s="5"/>
    </row>
    <row r="14" spans="1:8">
      <c r="A14" s="5"/>
      <c r="B14" s="6"/>
      <c r="C14" s="5"/>
      <c r="D14" s="5"/>
      <c r="E14" s="5"/>
      <c r="F14" s="5"/>
      <c r="G14" s="5"/>
      <c r="H14" s="5"/>
    </row>
    <row r="15" spans="1:8">
      <c r="A15" s="5"/>
      <c r="B15" s="6"/>
      <c r="C15" s="5"/>
      <c r="D15" s="5"/>
      <c r="E15" s="5"/>
      <c r="F15" s="5"/>
      <c r="G15" s="5"/>
      <c r="H15" s="5"/>
    </row>
    <row r="16" spans="1:8">
      <c r="A16" s="5"/>
      <c r="B16" s="6"/>
      <c r="C16" s="5"/>
      <c r="D16" s="5"/>
      <c r="E16" s="5"/>
      <c r="F16" s="5"/>
      <c r="G16" s="5"/>
      <c r="H16" s="5"/>
    </row>
    <row r="17" spans="1:8">
      <c r="A17" s="5"/>
      <c r="B17" s="6"/>
      <c r="C17" s="5"/>
      <c r="D17" s="5"/>
      <c r="E17" s="5"/>
      <c r="F17" s="5"/>
      <c r="G17" s="5"/>
      <c r="H17" s="5"/>
    </row>
    <row r="18" spans="1:8">
      <c r="A18" s="5"/>
      <c r="B18" s="6"/>
      <c r="C18" s="5"/>
      <c r="D18" s="5"/>
      <c r="E18" s="5"/>
      <c r="F18" s="5"/>
      <c r="G18" s="5"/>
      <c r="H18" s="5"/>
    </row>
    <row r="19" spans="1:8">
      <c r="A19" s="5"/>
      <c r="B19" s="6"/>
      <c r="C19" s="5"/>
      <c r="D19" s="5"/>
      <c r="E19" s="5"/>
      <c r="F19" s="5"/>
      <c r="G19" s="5"/>
      <c r="H19" s="5"/>
    </row>
    <row r="20" spans="1:8">
      <c r="A20" s="5"/>
      <c r="B20" s="6"/>
      <c r="C20" s="5"/>
      <c r="D20" s="5"/>
      <c r="E20" s="5"/>
      <c r="F20" s="5"/>
      <c r="G20" s="5"/>
      <c r="H20" s="5"/>
    </row>
    <row r="21" spans="1:8">
      <c r="A21" s="5"/>
      <c r="B21" s="6"/>
      <c r="C21" s="5"/>
      <c r="D21" s="5"/>
      <c r="E21" s="5"/>
      <c r="F21" s="5"/>
      <c r="G21" s="5"/>
      <c r="H21" s="5"/>
    </row>
    <row r="22" spans="1:8">
      <c r="A22" s="5"/>
      <c r="B22" s="6"/>
      <c r="C22" s="5"/>
      <c r="D22" s="5"/>
      <c r="E22" s="5"/>
      <c r="F22" s="5"/>
      <c r="G22" s="5"/>
      <c r="H22" s="5"/>
    </row>
    <row r="23" spans="1:8">
      <c r="A23" s="5"/>
      <c r="B23" s="6"/>
      <c r="C23" s="5"/>
      <c r="D23" s="5"/>
      <c r="E23" s="5"/>
      <c r="F23" s="5"/>
      <c r="G23" s="5"/>
      <c r="H23" s="5"/>
    </row>
    <row r="24" spans="1:8">
      <c r="A24" s="5"/>
      <c r="B24" s="6"/>
      <c r="C24" s="5"/>
      <c r="D24" s="5"/>
      <c r="E24" s="5"/>
      <c r="F24" s="5"/>
      <c r="G24" s="5"/>
      <c r="H24" s="5"/>
    </row>
    <row r="25" spans="1:8">
      <c r="A25" s="5"/>
      <c r="B25" s="6"/>
      <c r="C25" s="5"/>
      <c r="D25" s="5"/>
      <c r="E25" s="5"/>
      <c r="F25" s="5"/>
      <c r="G25" s="5"/>
      <c r="H25" s="5"/>
    </row>
    <row r="26" spans="1:8">
      <c r="A26" s="5"/>
      <c r="B26" s="6"/>
      <c r="C26" s="5"/>
      <c r="D26" s="5"/>
      <c r="E26" s="5"/>
      <c r="F26" s="5"/>
      <c r="G26" s="5"/>
      <c r="H26" s="5"/>
    </row>
    <row r="27" spans="1:8">
      <c r="A27" s="5"/>
      <c r="B27" s="6"/>
      <c r="C27" s="5"/>
      <c r="D27" s="5"/>
      <c r="E27" s="5"/>
      <c r="F27" s="5"/>
      <c r="G27" s="5"/>
      <c r="H27" s="5"/>
    </row>
    <row r="28" spans="1:8">
      <c r="A28" s="5"/>
      <c r="B28" s="6"/>
      <c r="C28" s="5"/>
      <c r="D28" s="5"/>
      <c r="E28" s="5"/>
      <c r="F28" s="5"/>
      <c r="G28" s="5"/>
      <c r="H28" s="5"/>
    </row>
    <row r="29" spans="1:8">
      <c r="A29" s="5"/>
      <c r="B29" s="6"/>
      <c r="C29" s="5"/>
      <c r="D29" s="5"/>
      <c r="E29" s="5"/>
      <c r="F29" s="5"/>
      <c r="G29" s="5"/>
      <c r="H29" s="5"/>
    </row>
    <row r="30" spans="1:8">
      <c r="A30" s="5"/>
      <c r="B30" s="6"/>
      <c r="C30" s="5"/>
      <c r="D30" s="5"/>
      <c r="E30" s="5"/>
      <c r="F30" s="5"/>
      <c r="G30" s="5"/>
      <c r="H30" s="5"/>
    </row>
    <row r="31" spans="1:8">
      <c r="A31" s="5"/>
      <c r="B31" s="6"/>
      <c r="C31" s="5"/>
      <c r="D31" s="5"/>
      <c r="E31" s="5"/>
      <c r="F31" s="5"/>
      <c r="G31" s="5"/>
      <c r="H31" s="5"/>
    </row>
    <row r="32" spans="1:8">
      <c r="A32" s="5"/>
      <c r="B32" s="6"/>
      <c r="C32" s="5"/>
      <c r="D32" s="5"/>
      <c r="E32" s="5"/>
      <c r="F32" s="5"/>
      <c r="G32" s="5"/>
      <c r="H32" s="5"/>
    </row>
    <row r="33" spans="1:8">
      <c r="A33" s="5"/>
      <c r="B33" s="6"/>
      <c r="C33" s="5"/>
      <c r="D33" s="5"/>
      <c r="E33" s="5"/>
      <c r="F33" s="5"/>
      <c r="G33" s="5"/>
      <c r="H33" s="5"/>
    </row>
    <row r="34" spans="1:8">
      <c r="A34" s="5"/>
      <c r="B34" s="6"/>
      <c r="C34" s="5"/>
      <c r="D34" s="5"/>
      <c r="E34" s="5"/>
      <c r="F34" s="5"/>
      <c r="G34" s="5"/>
      <c r="H34" s="5"/>
    </row>
    <row r="35" spans="1:8">
      <c r="A35" s="5"/>
      <c r="B35" s="6"/>
      <c r="C35" s="5"/>
      <c r="D35" s="5"/>
      <c r="E35" s="5"/>
      <c r="F35" s="5"/>
      <c r="G35" s="5"/>
      <c r="H35" s="5"/>
    </row>
    <row r="36" spans="1:8">
      <c r="A36" s="5"/>
      <c r="B36" s="6"/>
      <c r="C36" s="5"/>
      <c r="D36" s="5"/>
      <c r="E36" s="5"/>
      <c r="F36" s="5"/>
      <c r="G36" s="5"/>
      <c r="H36" s="5"/>
    </row>
    <row r="37" spans="1:8">
      <c r="A37" s="5"/>
      <c r="B37" s="6"/>
      <c r="C37" s="5"/>
      <c r="D37" s="5"/>
      <c r="E37" s="5"/>
      <c r="F37" s="5"/>
      <c r="G37" s="5"/>
      <c r="H37" s="5"/>
    </row>
    <row r="38" spans="1:8">
      <c r="A38" s="5"/>
      <c r="B38" s="6"/>
      <c r="C38" s="5"/>
      <c r="D38" s="5"/>
      <c r="E38" s="5"/>
      <c r="F38" s="5"/>
      <c r="G38" s="5"/>
      <c r="H38" s="5"/>
    </row>
    <row r="39" spans="1:8">
      <c r="A39" s="5"/>
      <c r="B39" s="6"/>
      <c r="C39" s="5"/>
      <c r="D39" s="5"/>
      <c r="E39" s="5"/>
      <c r="F39" s="5"/>
      <c r="G39" s="5"/>
      <c r="H39" s="5"/>
    </row>
    <row r="40" spans="1:8">
      <c r="A40" s="5"/>
      <c r="B40" s="6"/>
      <c r="C40" s="5"/>
      <c r="D40" s="5"/>
      <c r="E40" s="5"/>
      <c r="F40" s="5"/>
      <c r="G40" s="5"/>
      <c r="H40" s="5"/>
    </row>
    <row r="41" spans="1:8">
      <c r="A41" s="5"/>
      <c r="B41" s="6"/>
      <c r="C41" s="5"/>
      <c r="D41" s="5"/>
      <c r="E41" s="5"/>
      <c r="F41" s="5"/>
      <c r="G41" s="5"/>
      <c r="H41" s="5"/>
    </row>
    <row r="42" spans="1:8">
      <c r="A42" s="5"/>
      <c r="B42" s="6"/>
      <c r="C42" s="5"/>
      <c r="D42" s="5"/>
      <c r="E42" s="5"/>
      <c r="F42" s="5"/>
      <c r="G42" s="5"/>
      <c r="H42" s="5"/>
    </row>
    <row r="43" spans="1:8">
      <c r="A43" s="5"/>
      <c r="B43" s="6"/>
      <c r="C43" s="5"/>
      <c r="D43" s="5"/>
      <c r="E43" s="5"/>
      <c r="F43" s="5"/>
      <c r="G43" s="5"/>
      <c r="H43" s="5"/>
    </row>
    <row r="44" spans="1:8">
      <c r="A44" s="5"/>
      <c r="B44" s="6"/>
      <c r="C44" s="5"/>
      <c r="D44" s="5"/>
      <c r="E44" s="5"/>
      <c r="F44" s="5"/>
      <c r="G44" s="5"/>
      <c r="H44" s="5"/>
    </row>
    <row r="45" spans="1:8">
      <c r="A45" s="5"/>
      <c r="B45" s="6"/>
      <c r="C45" s="5"/>
      <c r="D45" s="5"/>
      <c r="E45" s="5"/>
      <c r="F45" s="5"/>
      <c r="G45" s="5"/>
      <c r="H45" s="5"/>
    </row>
    <row r="46" spans="1:8">
      <c r="A46" s="5"/>
      <c r="B46" s="6"/>
      <c r="C46" s="5"/>
      <c r="D46" s="5"/>
      <c r="E46" s="5"/>
      <c r="F46" s="5"/>
      <c r="G46" s="5"/>
      <c r="H46" s="5"/>
    </row>
    <row r="47" spans="1:8">
      <c r="A47" s="5"/>
      <c r="B47" s="6"/>
      <c r="C47" s="5"/>
      <c r="D47" s="5"/>
      <c r="E47" s="5"/>
      <c r="F47" s="5"/>
      <c r="G47" s="5"/>
      <c r="H47" s="5"/>
    </row>
    <row r="48" spans="1:8">
      <c r="A48" s="5"/>
      <c r="B48" s="6"/>
      <c r="C48" s="5"/>
      <c r="D48" s="5"/>
      <c r="E48" s="5"/>
      <c r="F48" s="5"/>
      <c r="G48" s="5"/>
      <c r="H48" s="5"/>
    </row>
    <row r="49" spans="1:8">
      <c r="A49" s="5"/>
      <c r="B49" s="6"/>
      <c r="C49" s="5"/>
      <c r="D49" s="5"/>
      <c r="E49" s="5"/>
      <c r="F49" s="5"/>
      <c r="G49" s="5"/>
      <c r="H49" s="5"/>
    </row>
    <row r="50" spans="1:8">
      <c r="A50" s="5"/>
      <c r="B50" s="6"/>
      <c r="C50" s="5"/>
      <c r="D50" s="5"/>
      <c r="E50" s="5"/>
      <c r="F50" s="5"/>
      <c r="G50" s="5"/>
      <c r="H50" s="5"/>
    </row>
    <row r="51" spans="1:8">
      <c r="A51" s="5"/>
      <c r="B51" s="6"/>
      <c r="C51" s="5"/>
      <c r="D51" s="5"/>
      <c r="E51" s="5"/>
      <c r="F51" s="5"/>
      <c r="G51" s="5"/>
      <c r="H51" s="5"/>
    </row>
    <row r="52" spans="1:8">
      <c r="A52" s="5"/>
      <c r="B52" s="6"/>
      <c r="C52" s="5"/>
      <c r="D52" s="5"/>
      <c r="E52" s="5"/>
      <c r="F52" s="5"/>
      <c r="G52" s="5"/>
      <c r="H52" s="5"/>
    </row>
    <row r="53" spans="1:8">
      <c r="A53" s="5"/>
      <c r="B53" s="6"/>
      <c r="C53" s="5"/>
      <c r="D53" s="5"/>
      <c r="E53" s="5"/>
      <c r="F53" s="5"/>
      <c r="G53" s="5"/>
      <c r="H53" s="5"/>
    </row>
    <row r="54" spans="1:8">
      <c r="A54" s="5"/>
      <c r="B54" s="6"/>
      <c r="C54" s="5"/>
      <c r="D54" s="5"/>
      <c r="E54" s="5"/>
      <c r="F54" s="5"/>
      <c r="G54" s="5"/>
      <c r="H54" s="5"/>
    </row>
    <row r="55" spans="1:8">
      <c r="A55" s="5"/>
      <c r="B55" s="6"/>
      <c r="C55" s="5"/>
      <c r="D55" s="5"/>
      <c r="E55" s="5"/>
      <c r="F55" s="5"/>
      <c r="G55" s="5"/>
      <c r="H55" s="5"/>
    </row>
    <row r="56" spans="1:8">
      <c r="A56" s="5"/>
      <c r="B56" s="6"/>
      <c r="C56" s="5"/>
      <c r="D56" s="5"/>
      <c r="E56" s="5"/>
      <c r="F56" s="5"/>
      <c r="G56" s="5"/>
      <c r="H56" s="5"/>
    </row>
    <row r="57" spans="1:8">
      <c r="A57" s="5"/>
      <c r="B57" s="6"/>
      <c r="C57" s="5"/>
      <c r="D57" s="5"/>
      <c r="E57" s="5"/>
      <c r="F57" s="5"/>
      <c r="G57" s="5"/>
      <c r="H57" s="5"/>
    </row>
    <row r="58" spans="1:8">
      <c r="A58" s="5"/>
      <c r="B58" s="6"/>
      <c r="C58" s="5"/>
      <c r="D58" s="5"/>
      <c r="E58" s="5"/>
      <c r="F58" s="5"/>
      <c r="G58" s="5"/>
      <c r="H58" s="5"/>
    </row>
    <row r="59" spans="1:8">
      <c r="A59" s="5"/>
      <c r="B59" s="6"/>
      <c r="C59" s="5"/>
      <c r="D59" s="5"/>
      <c r="E59" s="5"/>
      <c r="F59" s="5"/>
      <c r="G59" s="5"/>
      <c r="H59" s="5"/>
    </row>
    <row r="60" spans="1:8">
      <c r="A60" s="5"/>
      <c r="B60" s="6"/>
      <c r="C60" s="5"/>
      <c r="D60" s="5"/>
      <c r="E60" s="5"/>
      <c r="F60" s="5"/>
      <c r="G60" s="5"/>
      <c r="H60" s="5"/>
    </row>
    <row r="61" spans="1:8">
      <c r="A61" s="5"/>
      <c r="B61" s="6"/>
      <c r="C61" s="5"/>
      <c r="D61" s="5"/>
      <c r="E61" s="5"/>
      <c r="F61" s="5"/>
      <c r="G61" s="5"/>
      <c r="H61" s="5"/>
    </row>
    <row r="62" spans="1:8">
      <c r="A62" s="5"/>
      <c r="B62" s="6"/>
      <c r="C62" s="5"/>
      <c r="D62" s="5"/>
      <c r="E62" s="5"/>
      <c r="F62" s="5"/>
      <c r="G62" s="5"/>
      <c r="H62" s="5"/>
    </row>
    <row r="63" spans="1:8">
      <c r="A63" s="5"/>
      <c r="B63" s="6"/>
      <c r="C63" s="5"/>
      <c r="D63" s="5"/>
      <c r="E63" s="5"/>
      <c r="F63" s="5"/>
      <c r="G63" s="5"/>
      <c r="H63" s="5"/>
    </row>
    <row r="64" spans="1:8">
      <c r="A64" s="5"/>
      <c r="B64" s="6"/>
      <c r="C64" s="5"/>
      <c r="D64" s="5"/>
      <c r="E64" s="5"/>
      <c r="F64" s="5"/>
      <c r="G64" s="5"/>
      <c r="H64" s="5"/>
    </row>
    <row r="65" spans="1:8">
      <c r="A65" s="5"/>
      <c r="B65" s="6"/>
      <c r="C65" s="5"/>
      <c r="D65" s="5"/>
      <c r="E65" s="5"/>
      <c r="F65" s="5"/>
      <c r="G65" s="5"/>
      <c r="H65" s="5"/>
    </row>
    <row r="66" spans="1:8">
      <c r="A66" s="5"/>
      <c r="B66" s="6"/>
      <c r="C66" s="5"/>
      <c r="D66" s="5"/>
      <c r="E66" s="5"/>
      <c r="F66" s="5"/>
      <c r="G66" s="5"/>
      <c r="H66" s="5"/>
    </row>
    <row r="67" spans="1:8">
      <c r="A67" s="5"/>
      <c r="B67" s="6"/>
      <c r="C67" s="5"/>
      <c r="D67" s="5"/>
      <c r="E67" s="5"/>
      <c r="F67" s="5"/>
      <c r="G67" s="5"/>
      <c r="H67" s="5"/>
    </row>
    <row r="68" spans="1:8">
      <c r="A68" s="5"/>
      <c r="B68" s="6"/>
      <c r="C68" s="5"/>
      <c r="D68" s="5"/>
      <c r="E68" s="5"/>
      <c r="F68" s="5"/>
      <c r="G68" s="5"/>
      <c r="H68" s="5"/>
    </row>
    <row r="69" spans="1:8">
      <c r="A69" s="5"/>
      <c r="B69" s="6"/>
      <c r="C69" s="5"/>
      <c r="D69" s="5"/>
      <c r="E69" s="5"/>
      <c r="F69" s="5"/>
      <c r="G69" s="5"/>
      <c r="H69" s="5"/>
    </row>
    <row r="70" spans="1:8">
      <c r="A70" s="5"/>
      <c r="B70" s="6"/>
      <c r="C70" s="5"/>
      <c r="D70" s="5"/>
      <c r="E70" s="5"/>
      <c r="F70" s="5"/>
      <c r="G70" s="5"/>
      <c r="H70" s="5"/>
    </row>
    <row r="71" spans="1:8">
      <c r="A71" s="5"/>
      <c r="B71" s="6"/>
      <c r="C71" s="5"/>
      <c r="D71" s="5"/>
      <c r="E71" s="5"/>
      <c r="F71" s="5"/>
      <c r="G71" s="5"/>
      <c r="H71" s="5"/>
    </row>
    <row r="72" spans="1:8">
      <c r="A72" s="5"/>
      <c r="B72" s="6"/>
      <c r="C72" s="5"/>
      <c r="D72" s="5"/>
      <c r="E72" s="5"/>
      <c r="F72" s="5"/>
      <c r="G72" s="5"/>
      <c r="H72" s="5"/>
    </row>
    <row r="73" spans="1:8">
      <c r="A73" s="5"/>
      <c r="B73" s="6"/>
      <c r="C73" s="5"/>
      <c r="D73" s="5"/>
      <c r="E73" s="5"/>
      <c r="F73" s="5"/>
      <c r="G73" s="5"/>
      <c r="H73" s="5"/>
    </row>
    <row r="74" spans="1:8">
      <c r="A74" s="5"/>
      <c r="B74" s="6"/>
      <c r="C74" s="5"/>
      <c r="D74" s="5"/>
      <c r="E74" s="5"/>
      <c r="F74" s="5"/>
      <c r="G74" s="5"/>
      <c r="H74" s="5"/>
    </row>
    <row r="75" spans="1:8">
      <c r="A75" s="5"/>
      <c r="B75" s="6"/>
      <c r="C75" s="5"/>
      <c r="D75" s="5"/>
      <c r="E75" s="5"/>
      <c r="F75" s="5"/>
      <c r="G75" s="5"/>
      <c r="H75" s="5"/>
    </row>
    <row r="76" spans="1:8">
      <c r="A76" s="5"/>
      <c r="B76" s="6"/>
      <c r="C76" s="5"/>
      <c r="D76" s="5"/>
      <c r="E76" s="5"/>
      <c r="F76" s="5"/>
      <c r="G76" s="5"/>
      <c r="H76" s="5"/>
    </row>
    <row r="77" spans="1:8">
      <c r="A77" s="5"/>
      <c r="B77" s="6"/>
      <c r="C77" s="5"/>
      <c r="D77" s="5"/>
      <c r="E77" s="5"/>
      <c r="F77" s="5"/>
      <c r="G77" s="5"/>
      <c r="H77" s="5"/>
    </row>
    <row r="78" spans="1:8">
      <c r="A78" s="5"/>
      <c r="B78" s="6"/>
      <c r="C78" s="5"/>
      <c r="D78" s="5"/>
      <c r="E78" s="5"/>
      <c r="F78" s="5"/>
      <c r="G78" s="5"/>
      <c r="H78" s="5"/>
    </row>
    <row r="79" spans="1:8">
      <c r="A79" s="5"/>
      <c r="B79" s="6"/>
      <c r="C79" s="5"/>
      <c r="D79" s="5"/>
      <c r="E79" s="5"/>
      <c r="F79" s="5"/>
      <c r="G79" s="5"/>
      <c r="H79" s="5"/>
    </row>
    <row r="80" spans="1:8">
      <c r="A80" s="5"/>
      <c r="B80" s="6"/>
      <c r="C80" s="5"/>
      <c r="D80" s="5"/>
      <c r="E80" s="5"/>
      <c r="F80" s="5"/>
      <c r="G80" s="5"/>
      <c r="H80" s="5"/>
    </row>
    <row r="81" spans="1:8">
      <c r="A81" s="5"/>
      <c r="B81" s="6"/>
      <c r="C81" s="5"/>
      <c r="D81" s="5"/>
      <c r="E81" s="5"/>
      <c r="F81" s="5"/>
      <c r="G81" s="5"/>
      <c r="H81" s="5"/>
    </row>
    <row r="82" spans="1:8">
      <c r="A82" s="5"/>
      <c r="B82" s="6"/>
      <c r="C82" s="5"/>
      <c r="D82" s="5"/>
      <c r="E82" s="5"/>
      <c r="F82" s="5"/>
      <c r="G82" s="5"/>
      <c r="H82" s="5"/>
    </row>
    <row r="83" spans="1:8">
      <c r="A83" s="5"/>
      <c r="B83" s="6"/>
      <c r="C83" s="5"/>
      <c r="D83" s="5"/>
      <c r="E83" s="5"/>
      <c r="F83" s="5"/>
      <c r="G83" s="5"/>
      <c r="H83" s="5"/>
    </row>
    <row r="84" spans="1:8">
      <c r="A84" s="5"/>
      <c r="B84" s="6"/>
      <c r="C84" s="5"/>
      <c r="D84" s="5"/>
      <c r="E84" s="5"/>
      <c r="F84" s="5"/>
      <c r="G84" s="5"/>
      <c r="H84" s="5"/>
    </row>
    <row r="85" spans="1:8">
      <c r="A85" s="5"/>
      <c r="B85" s="6"/>
      <c r="C85" s="5"/>
      <c r="D85" s="5"/>
      <c r="E85" s="5"/>
      <c r="F85" s="5"/>
      <c r="G85" s="5"/>
      <c r="H85" s="5"/>
    </row>
    <row r="86" spans="1:8">
      <c r="A86" s="5"/>
      <c r="B86" s="6"/>
      <c r="C86" s="5"/>
      <c r="D86" s="5"/>
      <c r="E86" s="5"/>
      <c r="F86" s="5"/>
      <c r="G86" s="5"/>
      <c r="H86" s="5"/>
    </row>
    <row r="87" spans="1:8">
      <c r="A87" s="5"/>
      <c r="B87" s="6"/>
      <c r="C87" s="5"/>
      <c r="D87" s="5"/>
      <c r="E87" s="5"/>
      <c r="F87" s="5"/>
      <c r="G87" s="5"/>
      <c r="H87" s="5"/>
    </row>
    <row r="88" spans="1:8">
      <c r="A88" s="5"/>
      <c r="B88" s="6"/>
      <c r="C88" s="5"/>
      <c r="D88" s="5"/>
      <c r="E88" s="5"/>
      <c r="F88" s="5"/>
      <c r="G88" s="5"/>
      <c r="H88" s="5"/>
    </row>
    <row r="89" spans="1:8">
      <c r="A89" s="5"/>
      <c r="B89" s="6"/>
      <c r="C89" s="5"/>
      <c r="D89" s="5"/>
      <c r="E89" s="5"/>
      <c r="F89" s="5"/>
      <c r="G89" s="5"/>
      <c r="H89" s="5"/>
    </row>
    <row r="90" spans="1:8">
      <c r="A90" s="5"/>
      <c r="B90" s="6"/>
      <c r="C90" s="5"/>
      <c r="D90" s="5"/>
      <c r="E90" s="5"/>
      <c r="F90" s="5"/>
      <c r="G90" s="5"/>
      <c r="H90" s="5"/>
    </row>
    <row r="91" spans="1:8">
      <c r="A91" s="5"/>
      <c r="B91" s="6"/>
      <c r="C91" s="5"/>
      <c r="D91" s="5"/>
      <c r="E91" s="5"/>
      <c r="F91" s="5"/>
      <c r="G91" s="5"/>
      <c r="H91" s="5"/>
    </row>
    <row r="92" spans="1:8">
      <c r="A92" s="5"/>
      <c r="B92" s="6"/>
      <c r="C92" s="5"/>
      <c r="D92" s="5"/>
      <c r="E92" s="5"/>
      <c r="F92" s="5"/>
      <c r="G92" s="5"/>
      <c r="H92" s="5"/>
    </row>
    <row r="93" spans="1:8">
      <c r="A93" s="5"/>
      <c r="B93" s="6"/>
      <c r="C93" s="5"/>
      <c r="D93" s="5"/>
      <c r="E93" s="5"/>
      <c r="F93" s="5"/>
      <c r="G93" s="5"/>
      <c r="H93" s="5"/>
    </row>
    <row r="94" spans="1:8">
      <c r="A94" s="5"/>
      <c r="B94" s="6"/>
      <c r="C94" s="5"/>
      <c r="D94" s="5"/>
      <c r="E94" s="5"/>
      <c r="F94" s="5"/>
      <c r="G94" s="5"/>
      <c r="H94" s="5"/>
    </row>
    <row r="95" spans="1:8">
      <c r="A95" s="5"/>
      <c r="B95" s="6"/>
      <c r="C95" s="5"/>
      <c r="D95" s="5"/>
      <c r="E95" s="5"/>
      <c r="F95" s="5"/>
      <c r="G95" s="5"/>
      <c r="H95" s="5"/>
    </row>
    <row r="96" spans="1:8">
      <c r="A96" s="5"/>
      <c r="B96" s="6"/>
      <c r="C96" s="5"/>
      <c r="D96" s="5"/>
      <c r="E96" s="5"/>
      <c r="F96" s="5"/>
      <c r="G96" s="5"/>
      <c r="H96" s="5"/>
    </row>
    <row r="97" spans="1:8">
      <c r="A97" s="5"/>
      <c r="B97" s="6"/>
      <c r="C97" s="5"/>
      <c r="D97" s="5"/>
      <c r="E97" s="5"/>
      <c r="F97" s="5"/>
      <c r="G97" s="5"/>
      <c r="H97" s="5"/>
    </row>
    <row r="98" spans="1:8">
      <c r="A98" s="5"/>
      <c r="B98" s="6"/>
      <c r="C98" s="5"/>
      <c r="D98" s="5"/>
      <c r="E98" s="5"/>
      <c r="F98" s="5"/>
      <c r="G98" s="5"/>
      <c r="H98" s="5"/>
    </row>
    <row r="99" spans="1:8">
      <c r="A99" s="5"/>
      <c r="B99" s="6"/>
      <c r="C99" s="5"/>
      <c r="D99" s="5"/>
      <c r="E99" s="5"/>
      <c r="F99" s="5"/>
      <c r="G99" s="5"/>
      <c r="H99" s="5"/>
    </row>
    <row r="100" spans="1:8">
      <c r="A100" s="5"/>
      <c r="B100" s="6"/>
      <c r="C100" s="5"/>
      <c r="D100" s="5"/>
      <c r="E100" s="5"/>
      <c r="F100" s="5"/>
      <c r="G100" s="5"/>
      <c r="H100" s="5"/>
    </row>
    <row r="101" spans="1:8">
      <c r="A101" s="5"/>
      <c r="B101" s="6"/>
      <c r="C101" s="5"/>
      <c r="D101" s="5"/>
      <c r="E101" s="5"/>
      <c r="F101" s="5"/>
      <c r="G101" s="5"/>
      <c r="H101" s="5"/>
    </row>
    <row r="102" spans="1:8">
      <c r="A102" s="5"/>
      <c r="B102" s="6"/>
      <c r="C102" s="5"/>
      <c r="D102" s="5"/>
      <c r="E102" s="5"/>
      <c r="F102" s="5"/>
      <c r="G102" s="5"/>
      <c r="H102" s="5"/>
    </row>
    <row r="103" spans="1:8">
      <c r="A103" s="5"/>
      <c r="B103" s="6"/>
      <c r="C103" s="5"/>
      <c r="D103" s="5"/>
      <c r="E103" s="5"/>
      <c r="F103" s="5"/>
      <c r="G103" s="5"/>
      <c r="H103" s="5"/>
    </row>
    <row r="104" spans="1:8">
      <c r="A104" s="5"/>
      <c r="B104" s="6"/>
      <c r="C104" s="5"/>
      <c r="D104" s="5"/>
      <c r="E104" s="5"/>
      <c r="F104" s="5"/>
      <c r="G104" s="5"/>
      <c r="H104" s="5"/>
    </row>
    <row r="105" spans="1:8">
      <c r="A105" s="5"/>
      <c r="B105" s="6"/>
      <c r="C105" s="5"/>
      <c r="D105" s="5"/>
      <c r="E105" s="5"/>
      <c r="F105" s="5"/>
      <c r="G105" s="5"/>
      <c r="H105" s="5"/>
    </row>
    <row r="106" spans="1:8">
      <c r="A106" s="5"/>
      <c r="B106" s="6"/>
      <c r="C106" s="5"/>
      <c r="D106" s="5"/>
      <c r="E106" s="5"/>
      <c r="F106" s="5"/>
      <c r="G106" s="5"/>
      <c r="H106" s="5"/>
    </row>
    <row r="107" spans="1:8">
      <c r="A107" s="5"/>
      <c r="B107" s="6"/>
      <c r="C107" s="5"/>
      <c r="D107" s="5"/>
      <c r="E107" s="5"/>
      <c r="F107" s="5"/>
      <c r="G107" s="5"/>
      <c r="H107" s="5"/>
    </row>
    <row r="108" spans="1:8">
      <c r="A108" s="5"/>
      <c r="B108" s="6"/>
      <c r="C108" s="5"/>
      <c r="D108" s="5"/>
      <c r="E108" s="5"/>
      <c r="F108" s="5"/>
      <c r="G108" s="5"/>
      <c r="H108" s="5"/>
    </row>
    <row r="109" spans="1:8">
      <c r="A109" s="5"/>
      <c r="B109" s="6"/>
      <c r="C109" s="5"/>
      <c r="D109" s="5"/>
      <c r="E109" s="5"/>
      <c r="F109" s="5"/>
      <c r="G109" s="5"/>
      <c r="H109" s="5"/>
    </row>
    <row r="110" spans="1:8">
      <c r="A110" s="5"/>
      <c r="B110" s="6"/>
      <c r="C110" s="5"/>
      <c r="D110" s="5"/>
      <c r="E110" s="5"/>
      <c r="F110" s="5"/>
      <c r="G110" s="5"/>
      <c r="H110" s="5"/>
    </row>
    <row r="111" spans="1:8">
      <c r="A111" s="5"/>
      <c r="B111" s="6"/>
      <c r="C111" s="5"/>
      <c r="D111" s="5"/>
      <c r="E111" s="5"/>
      <c r="F111" s="5"/>
      <c r="G111" s="5"/>
      <c r="H111" s="5"/>
    </row>
    <row r="112" spans="1:8">
      <c r="A112" s="5"/>
      <c r="B112" s="6"/>
      <c r="C112" s="5"/>
      <c r="D112" s="5"/>
      <c r="E112" s="5"/>
      <c r="F112" s="5"/>
      <c r="G112" s="5"/>
      <c r="H112" s="5"/>
    </row>
    <row r="113" spans="1:8">
      <c r="A113" s="5"/>
      <c r="B113" s="6"/>
      <c r="C113" s="5"/>
      <c r="D113" s="5"/>
      <c r="E113" s="5"/>
      <c r="F113" s="5"/>
      <c r="G113" s="5"/>
      <c r="H113" s="5"/>
    </row>
    <row r="114" spans="1:8">
      <c r="A114" s="5"/>
      <c r="B114" s="6"/>
      <c r="C114" s="5"/>
      <c r="D114" s="5"/>
      <c r="E114" s="5"/>
      <c r="F114" s="5"/>
      <c r="G114" s="5"/>
      <c r="H114" s="5"/>
    </row>
    <row r="115" spans="1:8">
      <c r="A115" s="5"/>
      <c r="B115" s="6"/>
      <c r="C115" s="5"/>
      <c r="D115" s="5"/>
      <c r="E115" s="5"/>
      <c r="F115" s="5"/>
      <c r="G115" s="5"/>
      <c r="H115" s="5"/>
    </row>
    <row r="116" spans="1:8">
      <c r="A116" s="5"/>
      <c r="B116" s="6"/>
      <c r="C116" s="5"/>
      <c r="D116" s="5"/>
      <c r="E116" s="5"/>
      <c r="F116" s="5"/>
      <c r="G116" s="5"/>
      <c r="H116" s="5"/>
    </row>
    <row r="117" spans="1:8">
      <c r="A117" s="5"/>
      <c r="B117" s="6"/>
      <c r="C117" s="5"/>
      <c r="D117" s="5"/>
      <c r="E117" s="5"/>
      <c r="F117" s="5"/>
      <c r="G117" s="5"/>
      <c r="H117" s="5"/>
    </row>
    <row r="118" spans="1:8">
      <c r="A118" s="5"/>
      <c r="B118" s="6"/>
      <c r="C118" s="5"/>
      <c r="D118" s="5"/>
      <c r="E118" s="5"/>
      <c r="F118" s="5"/>
      <c r="G118" s="5"/>
      <c r="H118" s="5"/>
    </row>
    <row r="119" spans="1:8">
      <c r="A119" s="5"/>
      <c r="B119" s="6"/>
      <c r="C119" s="5"/>
      <c r="D119" s="5"/>
      <c r="E119" s="5"/>
      <c r="F119" s="5"/>
      <c r="G119" s="5"/>
      <c r="H119" s="5"/>
    </row>
    <row r="120" spans="1:8">
      <c r="A120" s="5"/>
      <c r="B120" s="6"/>
      <c r="C120" s="5"/>
      <c r="D120" s="5"/>
      <c r="E120" s="5"/>
      <c r="F120" s="5"/>
      <c r="G120" s="5"/>
      <c r="H120" s="5"/>
    </row>
    <row r="121" spans="1:8">
      <c r="A121" s="5"/>
      <c r="B121" s="6"/>
      <c r="C121" s="5"/>
      <c r="D121" s="5"/>
      <c r="E121" s="5"/>
      <c r="F121" s="5"/>
      <c r="G121" s="5"/>
      <c r="H121" s="5"/>
    </row>
    <row r="122" spans="1:8">
      <c r="A122" s="5"/>
      <c r="B122" s="6"/>
      <c r="C122" s="5"/>
      <c r="D122" s="5"/>
      <c r="E122" s="5"/>
      <c r="F122" s="5"/>
      <c r="G122" s="5"/>
      <c r="H122" s="5"/>
    </row>
    <row r="123" spans="1:8">
      <c r="A123" s="5"/>
      <c r="B123" s="6"/>
      <c r="C123" s="5"/>
      <c r="D123" s="5"/>
      <c r="E123" s="5"/>
      <c r="F123" s="5"/>
      <c r="G123" s="5"/>
      <c r="H123" s="5"/>
    </row>
    <row r="124" spans="1:8">
      <c r="A124" s="5"/>
      <c r="B124" s="6"/>
      <c r="C124" s="5"/>
      <c r="D124" s="5"/>
      <c r="E124" s="5"/>
      <c r="F124" s="5"/>
      <c r="G124" s="5"/>
      <c r="H124" s="5"/>
    </row>
    <row r="125" spans="1:8">
      <c r="A125" s="5"/>
      <c r="B125" s="6"/>
      <c r="C125" s="5"/>
      <c r="D125" s="5"/>
      <c r="E125" s="5"/>
      <c r="F125" s="5"/>
      <c r="G125" s="5"/>
      <c r="H125" s="5"/>
    </row>
    <row r="126" spans="1:8">
      <c r="A126" s="5"/>
      <c r="B126" s="6"/>
      <c r="C126" s="5"/>
      <c r="D126" s="5"/>
      <c r="E126" s="5"/>
      <c r="F126" s="5"/>
      <c r="G126" s="5"/>
      <c r="H126" s="5"/>
    </row>
    <row r="127" spans="1:8">
      <c r="A127" s="5"/>
      <c r="B127" s="6"/>
      <c r="C127" s="5"/>
      <c r="D127" s="5"/>
      <c r="E127" s="5"/>
      <c r="F127" s="5"/>
      <c r="G127" s="5"/>
      <c r="H127" s="5"/>
    </row>
    <row r="128" spans="1:8">
      <c r="A128" s="5"/>
      <c r="B128" s="6"/>
      <c r="C128" s="5"/>
      <c r="D128" s="5"/>
      <c r="E128" s="5"/>
      <c r="F128" s="5"/>
      <c r="G128" s="5"/>
      <c r="H128" s="5"/>
    </row>
    <row r="129" spans="1:8">
      <c r="A129" s="5"/>
      <c r="B129" s="6"/>
      <c r="C129" s="5"/>
      <c r="D129" s="5"/>
      <c r="E129" s="5"/>
      <c r="F129" s="5"/>
      <c r="G129" s="5"/>
      <c r="H129" s="5"/>
    </row>
    <row r="130" spans="1:8">
      <c r="A130" s="5"/>
      <c r="B130" s="6"/>
      <c r="C130" s="5"/>
      <c r="D130" s="5"/>
      <c r="E130" s="5"/>
      <c r="F130" s="5"/>
      <c r="G130" s="5"/>
      <c r="H130" s="5"/>
    </row>
    <row r="131" spans="1:8">
      <c r="A131" s="5"/>
      <c r="B131" s="6"/>
      <c r="C131" s="5"/>
      <c r="D131" s="5"/>
      <c r="E131" s="5"/>
      <c r="F131" s="5"/>
      <c r="G131" s="5"/>
      <c r="H131" s="5"/>
    </row>
    <row r="132" spans="1:8">
      <c r="A132" s="5"/>
      <c r="B132" s="6"/>
      <c r="C132" s="5"/>
      <c r="D132" s="5"/>
      <c r="E132" s="5"/>
      <c r="F132" s="5"/>
      <c r="G132" s="5"/>
      <c r="H132" s="5"/>
    </row>
    <row r="133" spans="1:8">
      <c r="A133" s="5"/>
      <c r="B133" s="6"/>
      <c r="C133" s="5"/>
      <c r="D133" s="5"/>
      <c r="E133" s="5"/>
      <c r="F133" s="5"/>
      <c r="G133" s="5"/>
      <c r="H133" s="5"/>
    </row>
    <row r="134" spans="1:8">
      <c r="A134" s="5"/>
      <c r="B134" s="6"/>
      <c r="C134" s="5"/>
      <c r="D134" s="5"/>
      <c r="E134" s="5"/>
      <c r="F134" s="5"/>
      <c r="G134" s="5"/>
      <c r="H134" s="5"/>
    </row>
    <row r="135" spans="1:8">
      <c r="A135" s="5"/>
      <c r="B135" s="6"/>
      <c r="C135" s="5"/>
      <c r="D135" s="5"/>
      <c r="E135" s="5"/>
      <c r="F135" s="5"/>
      <c r="G135" s="5"/>
      <c r="H135" s="5"/>
    </row>
    <row r="136" spans="1:8">
      <c r="A136" s="5"/>
      <c r="B136" s="6"/>
      <c r="C136" s="5"/>
      <c r="D136" s="5"/>
      <c r="E136" s="5"/>
      <c r="F136" s="5"/>
      <c r="G136" s="5"/>
      <c r="H136" s="5"/>
    </row>
    <row r="137" spans="1:8">
      <c r="A137" s="5"/>
      <c r="B137" s="6"/>
      <c r="C137" s="5"/>
      <c r="D137" s="5"/>
      <c r="E137" s="5"/>
      <c r="F137" s="5"/>
      <c r="G137" s="5"/>
      <c r="H137" s="5"/>
    </row>
    <row r="138" spans="1:8">
      <c r="A138" s="5"/>
      <c r="B138" s="6"/>
      <c r="C138" s="5"/>
      <c r="D138" s="5"/>
      <c r="E138" s="5"/>
      <c r="F138" s="5"/>
      <c r="G138" s="5"/>
      <c r="H138" s="5"/>
    </row>
    <row r="139" spans="1:8">
      <c r="A139" s="5"/>
      <c r="B139" s="6"/>
      <c r="C139" s="5"/>
      <c r="D139" s="5"/>
      <c r="E139" s="5"/>
      <c r="F139" s="5"/>
      <c r="G139" s="5"/>
      <c r="H139" s="5"/>
    </row>
    <row r="140" spans="1:8">
      <c r="A140" s="5"/>
      <c r="B140" s="6"/>
      <c r="C140" s="5"/>
      <c r="D140" s="5"/>
      <c r="E140" s="5"/>
      <c r="F140" s="5"/>
      <c r="G140" s="5"/>
      <c r="H140" s="5"/>
    </row>
    <row r="141" spans="1:8">
      <c r="A141" s="5"/>
      <c r="B141" s="6"/>
      <c r="C141" s="5"/>
      <c r="D141" s="5"/>
      <c r="E141" s="5"/>
      <c r="F141" s="5"/>
      <c r="G141" s="5"/>
      <c r="H141" s="5"/>
    </row>
    <row r="142" spans="1:8">
      <c r="A142" s="5"/>
      <c r="B142" s="6"/>
      <c r="C142" s="5"/>
      <c r="D142" s="5"/>
      <c r="E142" s="5"/>
      <c r="F142" s="5"/>
      <c r="G142" s="5"/>
      <c r="H142" s="5"/>
    </row>
    <row r="143" spans="1:8">
      <c r="A143" s="5"/>
      <c r="B143" s="6"/>
      <c r="C143" s="5"/>
      <c r="D143" s="5"/>
      <c r="E143" s="5"/>
      <c r="F143" s="5"/>
      <c r="G143" s="5"/>
      <c r="H143" s="5"/>
    </row>
    <row r="144" spans="1:8">
      <c r="A144" s="5"/>
      <c r="B144" s="6"/>
      <c r="C144" s="5"/>
      <c r="D144" s="5"/>
      <c r="E144" s="5"/>
      <c r="F144" s="5"/>
      <c r="G144" s="5"/>
      <c r="H144" s="5"/>
    </row>
    <row r="145" spans="1:8">
      <c r="A145" s="5"/>
      <c r="B145" s="6"/>
      <c r="C145" s="5"/>
      <c r="D145" s="5"/>
      <c r="E145" s="5"/>
      <c r="F145" s="5"/>
      <c r="G145" s="5"/>
      <c r="H145" s="5"/>
    </row>
    <row r="146" spans="1:8">
      <c r="A146" s="5"/>
      <c r="B146" s="6"/>
      <c r="C146" s="5"/>
      <c r="D146" s="5"/>
      <c r="E146" s="5"/>
      <c r="F146" s="5"/>
      <c r="G146" s="5"/>
      <c r="H146" s="5"/>
    </row>
    <row r="147" spans="1:8">
      <c r="A147" s="5"/>
      <c r="B147" s="6"/>
      <c r="C147" s="5"/>
      <c r="D147" s="5"/>
      <c r="E147" s="5"/>
      <c r="F147" s="5"/>
      <c r="G147" s="5"/>
      <c r="H147" s="5"/>
    </row>
    <row r="148" spans="1:8">
      <c r="A148" s="5"/>
      <c r="B148" s="6"/>
      <c r="C148" s="5"/>
      <c r="D148" s="5"/>
      <c r="E148" s="5"/>
      <c r="F148" s="5"/>
      <c r="G148" s="5"/>
      <c r="H148" s="5"/>
    </row>
    <row r="149" spans="1:8">
      <c r="A149" s="5"/>
      <c r="B149" s="6"/>
      <c r="C149" s="5"/>
      <c r="D149" s="5"/>
      <c r="E149" s="5"/>
      <c r="F149" s="5"/>
      <c r="G149" s="5"/>
      <c r="H149" s="5"/>
    </row>
    <row r="150" spans="1:8">
      <c r="A150" s="5"/>
      <c r="B150" s="6"/>
      <c r="C150" s="5"/>
      <c r="D150" s="5"/>
      <c r="E150" s="5"/>
      <c r="F150" s="5"/>
      <c r="G150" s="5"/>
      <c r="H150" s="5"/>
    </row>
    <row r="151" spans="1:8">
      <c r="A151" s="5"/>
      <c r="B151" s="6"/>
      <c r="C151" s="5"/>
      <c r="D151" s="5"/>
      <c r="E151" s="5"/>
      <c r="F151" s="5"/>
      <c r="G151" s="5"/>
      <c r="H151" s="5"/>
    </row>
    <row r="152" spans="1:8">
      <c r="A152" s="5"/>
      <c r="B152" s="6"/>
      <c r="C152" s="5"/>
      <c r="D152" s="5"/>
      <c r="E152" s="5"/>
      <c r="F152" s="5"/>
      <c r="G152" s="5"/>
      <c r="H152" s="5"/>
    </row>
    <row r="153" spans="1:8">
      <c r="A153" s="5"/>
      <c r="B153" s="6"/>
      <c r="C153" s="5"/>
      <c r="D153" s="5"/>
      <c r="E153" s="5"/>
      <c r="F153" s="5"/>
      <c r="G153" s="5"/>
      <c r="H153" s="5"/>
    </row>
    <row r="154" spans="1:8">
      <c r="A154" s="5"/>
      <c r="B154" s="6"/>
      <c r="C154" s="5"/>
      <c r="D154" s="5"/>
      <c r="E154" s="5"/>
      <c r="F154" s="5"/>
      <c r="G154" s="5"/>
      <c r="H154" s="5"/>
    </row>
    <row r="155" spans="1:8">
      <c r="A155" s="5"/>
      <c r="B155" s="6"/>
      <c r="C155" s="5"/>
      <c r="D155" s="5"/>
      <c r="E155" s="5"/>
      <c r="F155" s="5"/>
      <c r="G155" s="5"/>
      <c r="H155" s="5"/>
    </row>
    <row r="156" spans="1:8">
      <c r="A156" s="5"/>
      <c r="B156" s="6"/>
      <c r="C156" s="5"/>
      <c r="D156" s="5"/>
      <c r="E156" s="5"/>
      <c r="F156" s="5"/>
      <c r="G156" s="5"/>
      <c r="H156" s="5"/>
    </row>
    <row r="157" spans="1:8">
      <c r="A157" s="5"/>
      <c r="B157" s="6"/>
      <c r="C157" s="5"/>
      <c r="D157" s="5"/>
      <c r="E157" s="5"/>
      <c r="F157" s="5"/>
      <c r="G157" s="5"/>
      <c r="H157" s="5"/>
    </row>
    <row r="158" spans="1:8">
      <c r="A158" s="5"/>
      <c r="B158" s="6"/>
      <c r="C158" s="5"/>
      <c r="D158" s="5"/>
      <c r="E158" s="5"/>
      <c r="F158" s="5"/>
      <c r="G158" s="5"/>
      <c r="H158" s="5"/>
    </row>
    <row r="159" spans="1:8">
      <c r="A159" s="5"/>
      <c r="B159" s="6"/>
      <c r="C159" s="5"/>
      <c r="D159" s="5"/>
      <c r="E159" s="5"/>
      <c r="F159" s="5"/>
      <c r="G159" s="5"/>
      <c r="H159" s="5"/>
    </row>
    <row r="160" spans="1:8">
      <c r="A160" s="5"/>
      <c r="B160" s="6"/>
      <c r="C160" s="5"/>
      <c r="D160" s="5"/>
      <c r="E160" s="5"/>
      <c r="F160" s="5"/>
      <c r="G160" s="5"/>
      <c r="H160" s="5"/>
    </row>
    <row r="161" spans="1:8">
      <c r="A161" s="5"/>
      <c r="B161" s="6"/>
      <c r="C161" s="5"/>
      <c r="D161" s="5"/>
      <c r="E161" s="5"/>
      <c r="F161" s="5"/>
      <c r="G161" s="5"/>
      <c r="H161" s="5"/>
    </row>
    <row r="162" spans="1:8">
      <c r="A162" s="5"/>
      <c r="B162" s="6"/>
      <c r="C162" s="5"/>
      <c r="D162" s="5"/>
      <c r="E162" s="5"/>
      <c r="F162" s="5"/>
      <c r="G162" s="5"/>
      <c r="H162" s="5"/>
    </row>
    <row r="163" spans="1:8">
      <c r="A163" s="5"/>
      <c r="B163" s="6"/>
      <c r="C163" s="5"/>
      <c r="D163" s="5"/>
      <c r="E163" s="5"/>
      <c r="F163" s="5"/>
      <c r="G163" s="5"/>
      <c r="H163" s="5"/>
    </row>
    <row r="164" spans="1:8">
      <c r="A164" s="5"/>
      <c r="B164" s="6"/>
      <c r="C164" s="5"/>
      <c r="D164" s="5"/>
      <c r="E164" s="5"/>
      <c r="F164" s="5"/>
      <c r="G164" s="5"/>
      <c r="H164" s="5"/>
    </row>
    <row r="165" spans="1:8">
      <c r="A165" s="5"/>
      <c r="B165" s="6"/>
      <c r="C165" s="5"/>
      <c r="D165" s="5"/>
      <c r="E165" s="5"/>
      <c r="F165" s="5"/>
      <c r="G165" s="5"/>
      <c r="H165" s="5"/>
    </row>
    <row r="166" spans="1:8">
      <c r="A166" s="5"/>
      <c r="B166" s="6"/>
      <c r="C166" s="5"/>
      <c r="D166" s="5"/>
      <c r="E166" s="5"/>
      <c r="F166" s="5"/>
      <c r="G166" s="5"/>
      <c r="H166" s="5"/>
    </row>
    <row r="167" spans="1:8">
      <c r="A167" s="5"/>
      <c r="B167" s="6"/>
      <c r="C167" s="5"/>
      <c r="D167" s="5"/>
      <c r="E167" s="5"/>
      <c r="F167" s="5"/>
      <c r="G167" s="5"/>
      <c r="H167" s="5"/>
    </row>
    <row r="168" spans="1:8">
      <c r="A168" s="5"/>
      <c r="B168" s="6"/>
      <c r="C168" s="5"/>
      <c r="D168" s="5"/>
      <c r="E168" s="5"/>
      <c r="F168" s="5"/>
      <c r="G168" s="5"/>
      <c r="H168" s="5"/>
    </row>
    <row r="169" spans="1:8">
      <c r="A169" s="5"/>
      <c r="B169" s="6"/>
      <c r="C169" s="5"/>
      <c r="D169" s="5"/>
      <c r="E169" s="5"/>
      <c r="F169" s="5"/>
      <c r="G169" s="5"/>
      <c r="H169" s="5"/>
    </row>
    <row r="170" spans="1:8">
      <c r="A170" s="5"/>
      <c r="B170" s="6"/>
      <c r="C170" s="5"/>
      <c r="D170" s="5"/>
      <c r="E170" s="5"/>
      <c r="F170" s="5"/>
      <c r="G170" s="5"/>
      <c r="H170" s="5"/>
    </row>
    <row r="171" spans="1:8">
      <c r="A171" s="5"/>
      <c r="B171" s="6"/>
      <c r="C171" s="5"/>
      <c r="D171" s="5"/>
      <c r="E171" s="5"/>
      <c r="F171" s="5"/>
      <c r="G171" s="5"/>
      <c r="H171" s="5"/>
    </row>
    <row r="172" spans="1:8">
      <c r="A172" s="5"/>
      <c r="B172" s="6"/>
      <c r="C172" s="5"/>
      <c r="D172" s="5"/>
      <c r="E172" s="5"/>
      <c r="F172" s="5"/>
      <c r="G172" s="5"/>
      <c r="H172" s="5"/>
    </row>
    <row r="173" spans="1:8">
      <c r="A173" s="5"/>
      <c r="B173" s="6"/>
      <c r="C173" s="5"/>
      <c r="D173" s="5"/>
      <c r="E173" s="5"/>
      <c r="F173" s="5"/>
      <c r="G173" s="5"/>
      <c r="H173" s="5"/>
    </row>
    <row r="174" spans="1:8">
      <c r="A174" s="5"/>
      <c r="B174" s="6"/>
      <c r="C174" s="5"/>
      <c r="D174" s="5"/>
      <c r="E174" s="5"/>
      <c r="F174" s="5"/>
      <c r="G174" s="5"/>
      <c r="H174" s="5"/>
    </row>
    <row r="175" spans="1:8">
      <c r="A175" s="5"/>
      <c r="B175" s="6"/>
      <c r="C175" s="5"/>
      <c r="D175" s="5"/>
      <c r="E175" s="5"/>
      <c r="F175" s="5"/>
      <c r="G175" s="5"/>
      <c r="H175" s="5"/>
    </row>
    <row r="176" spans="1:8">
      <c r="A176" s="5"/>
      <c r="B176" s="6"/>
      <c r="C176" s="5"/>
      <c r="D176" s="5"/>
      <c r="E176" s="5"/>
      <c r="F176" s="5"/>
      <c r="G176" s="5"/>
      <c r="H176" s="5"/>
    </row>
    <row r="177" spans="1:8">
      <c r="A177" s="5"/>
      <c r="B177" s="6"/>
      <c r="C177" s="5"/>
      <c r="D177" s="5"/>
      <c r="E177" s="5"/>
      <c r="F177" s="5"/>
      <c r="G177" s="5"/>
      <c r="H177" s="5"/>
    </row>
    <row r="178" spans="1:8">
      <c r="A178" s="5"/>
      <c r="B178" s="6"/>
      <c r="C178" s="5"/>
      <c r="D178" s="5"/>
      <c r="E178" s="5"/>
      <c r="F178" s="5"/>
      <c r="G178" s="5"/>
      <c r="H178" s="5"/>
    </row>
    <row r="179" spans="1:8">
      <c r="A179" s="5"/>
      <c r="B179" s="6"/>
      <c r="C179" s="5"/>
      <c r="D179" s="5"/>
      <c r="E179" s="5"/>
      <c r="F179" s="5"/>
      <c r="G179" s="5"/>
      <c r="H179" s="5"/>
    </row>
    <row r="180" spans="1:8">
      <c r="A180" s="5"/>
      <c r="B180" s="6"/>
      <c r="C180" s="5"/>
      <c r="D180" s="5"/>
      <c r="E180" s="5"/>
      <c r="F180" s="5"/>
      <c r="G180" s="5"/>
      <c r="H180" s="5"/>
    </row>
    <row r="181" spans="1:8">
      <c r="A181" s="5"/>
      <c r="B181" s="6"/>
      <c r="C181" s="5"/>
      <c r="D181" s="5"/>
      <c r="E181" s="5"/>
      <c r="F181" s="5"/>
      <c r="G181" s="5"/>
      <c r="H181" s="5"/>
    </row>
    <row r="182" spans="1:8">
      <c r="A182" s="5"/>
      <c r="B182" s="6"/>
      <c r="C182" s="5"/>
      <c r="D182" s="5"/>
      <c r="E182" s="5"/>
      <c r="F182" s="5"/>
      <c r="G182" s="5"/>
      <c r="H182" s="5"/>
    </row>
    <row r="183" spans="1:8">
      <c r="A183" s="5"/>
      <c r="B183" s="6"/>
      <c r="C183" s="5"/>
      <c r="D183" s="5"/>
      <c r="E183" s="5"/>
      <c r="F183" s="5"/>
      <c r="G183" s="5"/>
      <c r="H183" s="5"/>
    </row>
    <row r="184" spans="1:8">
      <c r="A184" s="5"/>
      <c r="B184" s="6"/>
      <c r="C184" s="5"/>
      <c r="D184" s="5"/>
      <c r="E184" s="5"/>
      <c r="F184" s="5"/>
      <c r="G184" s="5"/>
      <c r="H184" s="5"/>
    </row>
    <row r="185" spans="1:8">
      <c r="A185" s="5"/>
      <c r="B185" s="6"/>
      <c r="C185" s="5"/>
      <c r="D185" s="5"/>
      <c r="E185" s="5"/>
      <c r="F185" s="5"/>
      <c r="G185" s="5"/>
      <c r="H185" s="5"/>
    </row>
    <row r="186" spans="1:8">
      <c r="A186" s="5"/>
      <c r="B186" s="6"/>
      <c r="C186" s="5"/>
      <c r="D186" s="5"/>
      <c r="E186" s="5"/>
      <c r="F186" s="5"/>
      <c r="G186" s="5"/>
      <c r="H186" s="5"/>
    </row>
    <row r="187" spans="1:8">
      <c r="A187" s="5"/>
      <c r="B187" s="6"/>
      <c r="C187" s="5"/>
      <c r="D187" s="5"/>
      <c r="E187" s="5"/>
      <c r="F187" s="5"/>
      <c r="G187" s="5"/>
      <c r="H187" s="5"/>
    </row>
    <row r="188" spans="1:8">
      <c r="A188" s="5"/>
      <c r="B188" s="6"/>
      <c r="C188" s="5"/>
      <c r="D188" s="5"/>
      <c r="E188" s="5"/>
      <c r="F188" s="5"/>
      <c r="G188" s="5"/>
      <c r="H188" s="5"/>
    </row>
    <row r="189" spans="1:8">
      <c r="A189" s="5"/>
      <c r="B189" s="6"/>
      <c r="C189" s="5"/>
      <c r="D189" s="5"/>
      <c r="E189" s="5"/>
      <c r="F189" s="5"/>
      <c r="G189" s="5"/>
      <c r="H189" s="5"/>
    </row>
    <row r="190" spans="1:8">
      <c r="A190" s="5"/>
      <c r="B190" s="6"/>
      <c r="C190" s="5"/>
      <c r="D190" s="5"/>
      <c r="E190" s="5"/>
      <c r="F190" s="5"/>
      <c r="G190" s="5"/>
      <c r="H190" s="5"/>
    </row>
    <row r="191" spans="1:8">
      <c r="A191" s="5"/>
      <c r="B191" s="6"/>
      <c r="C191" s="5"/>
      <c r="D191" s="5"/>
      <c r="E191" s="5"/>
      <c r="F191" s="5"/>
      <c r="G191" s="5"/>
      <c r="H191" s="5"/>
    </row>
    <row r="192" spans="1:8">
      <c r="A192" s="5"/>
      <c r="B192" s="6"/>
      <c r="C192" s="5"/>
      <c r="D192" s="5"/>
      <c r="E192" s="5"/>
      <c r="F192" s="5"/>
      <c r="G192" s="5"/>
      <c r="H192" s="5"/>
    </row>
    <row r="193" spans="1:8">
      <c r="A193" s="5"/>
      <c r="B193" s="6"/>
      <c r="C193" s="5"/>
      <c r="D193" s="5"/>
      <c r="E193" s="5"/>
      <c r="F193" s="5"/>
      <c r="G193" s="5"/>
      <c r="H193" s="5"/>
    </row>
    <row r="194" spans="1:8">
      <c r="A194" s="5"/>
      <c r="B194" s="6"/>
      <c r="C194" s="5"/>
      <c r="D194" s="5"/>
      <c r="E194" s="5"/>
      <c r="F194" s="5"/>
      <c r="G194" s="5"/>
      <c r="H194" s="5"/>
    </row>
    <row r="195" spans="1:8">
      <c r="A195" s="5"/>
      <c r="B195" s="6"/>
      <c r="C195" s="5"/>
      <c r="D195" s="5"/>
      <c r="E195" s="5"/>
      <c r="F195" s="5"/>
      <c r="G195" s="5"/>
      <c r="H195" s="5"/>
    </row>
    <row r="196" spans="1:8">
      <c r="A196" s="5"/>
      <c r="B196" s="6"/>
      <c r="C196" s="5"/>
      <c r="D196" s="5"/>
      <c r="E196" s="5"/>
      <c r="F196" s="5"/>
      <c r="G196" s="5"/>
      <c r="H196" s="5"/>
    </row>
  </sheetData>
  <pageMargins left="0.7" right="0.7" top="0.75" bottom="0.75" header="0.3" footer="0.3"/>
  <pageSetup scale="54"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A13"/>
  <sheetViews>
    <sheetView workbookViewId="0">
      <selection activeCell="A5" sqref="A5"/>
    </sheetView>
  </sheetViews>
  <sheetFormatPr defaultColWidth="9" defaultRowHeight="14.4"/>
  <cols>
    <col min="1" max="1" width="89.33203125" customWidth="1"/>
  </cols>
  <sheetData>
    <row r="1" spans="1:1" ht="19.8">
      <c r="A1" s="1" t="s">
        <v>437</v>
      </c>
    </row>
    <row r="2" spans="1:1" ht="19.8">
      <c r="A2" s="1"/>
    </row>
    <row r="3" spans="1:1" ht="39.6">
      <c r="A3" s="1" t="s">
        <v>438</v>
      </c>
    </row>
    <row r="4" spans="1:1" ht="19.8">
      <c r="A4" s="1"/>
    </row>
    <row r="5" spans="1:1" ht="118.8">
      <c r="A5" s="1" t="s">
        <v>439</v>
      </c>
    </row>
    <row r="6" spans="1:1" ht="19.8">
      <c r="A6" s="1"/>
    </row>
    <row r="7" spans="1:1" ht="19.8">
      <c r="A7" s="1" t="s">
        <v>440</v>
      </c>
    </row>
    <row r="8" spans="1:1" ht="19.8">
      <c r="A8" s="1"/>
    </row>
    <row r="9" spans="1:1" ht="19.8">
      <c r="A9" s="1" t="s">
        <v>441</v>
      </c>
    </row>
    <row r="10" spans="1:1" ht="19.8">
      <c r="A10" s="1"/>
    </row>
    <row r="11" spans="1:1" ht="19.8">
      <c r="A11" s="1" t="s">
        <v>442</v>
      </c>
    </row>
    <row r="12" spans="1:1" ht="19.8">
      <c r="A12" s="1"/>
    </row>
    <row r="13" spans="1:1" ht="19.8">
      <c r="A13" s="1" t="s">
        <v>443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8ADEEC18-3204-4A86-94FF-9B38972B8D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Bid Recap &amp; Summary</vt:lpstr>
      <vt:lpstr>Worksheet</vt:lpstr>
      <vt:lpstr>ROUGH SHEET CALCULATION</vt:lpstr>
      <vt:lpstr>Rules</vt:lpstr>
      <vt:lpstr>'Bid Recap &amp; Summary'!Print_Area</vt:lpstr>
      <vt:lpstr>Worksheet!Print_Area</vt:lpstr>
      <vt:lpstr>Worksheet!Print_Titles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waseem ijaz</cp:lastModifiedBy>
  <dcterms:created xsi:type="dcterms:W3CDTF">2015-06-05T18:17:00Z</dcterms:created>
  <dcterms:modified xsi:type="dcterms:W3CDTF">2026-07-29T19:53:12Z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{8ADEEC18-3204-4A86-94FF-9B38972B8DB7}</vt:lpwstr>
  </property>
  <property fmtid="{D5CDD505-2E9C-101B-9397-08002B2CF9AE}" pid="5" name="ICV">
    <vt:lpwstr>D233259A4D7F4C809F06EEA9A25CDF9B_12</vt:lpwstr>
  </property>
  <property fmtid="{D5CDD505-2E9C-101B-9397-08002B2CF9AE}" pid="6" name="KSOProductBuildVer">
    <vt:lpwstr>1033-12.2.0.21179</vt:lpwstr>
  </property>
</Properties>
</file>